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2"/>
  </bookViews>
  <sheets>
    <sheet name="quadro de custos" sheetId="5" r:id="rId1"/>
    <sheet name="CRON CONSOLIDADO %" sheetId="3" r:id="rId2"/>
    <sheet name="CRONOGRAMA EXECUÇÃO" sheetId="4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G8" i="3" l="1"/>
  <c r="G7" i="3"/>
  <c r="V8" i="4"/>
  <c r="F8" i="4"/>
  <c r="D8" i="4"/>
  <c r="E8" i="4"/>
  <c r="C8" i="4"/>
  <c r="U24" i="4" l="1"/>
  <c r="T6" i="4"/>
  <c r="Q6" i="4"/>
  <c r="O6" i="4"/>
  <c r="V13" i="4"/>
  <c r="U13" i="4"/>
  <c r="T13" i="4"/>
  <c r="R13" i="4"/>
  <c r="O13" i="4"/>
  <c r="L13" i="4"/>
  <c r="Q13" i="4"/>
  <c r="N13" i="4"/>
  <c r="K13" i="4"/>
  <c r="E16" i="4" l="1"/>
  <c r="E24" i="4"/>
  <c r="E9" i="4"/>
  <c r="U23" i="4" l="1"/>
  <c r="U22" i="4"/>
  <c r="U21" i="4"/>
  <c r="U20" i="4"/>
  <c r="U19" i="4"/>
  <c r="U18" i="4"/>
  <c r="U17" i="4"/>
  <c r="U16" i="4"/>
  <c r="U15" i="4"/>
  <c r="U14" i="4"/>
  <c r="U12" i="4"/>
  <c r="U7" i="4"/>
  <c r="U6" i="4"/>
  <c r="T23" i="4"/>
  <c r="T22" i="4"/>
  <c r="T21" i="4"/>
  <c r="T20" i="4"/>
  <c r="T19" i="4"/>
  <c r="T17" i="4"/>
  <c r="T18" i="4"/>
  <c r="T16" i="4"/>
  <c r="T15" i="4"/>
  <c r="T14" i="4"/>
  <c r="T11" i="4"/>
  <c r="T10" i="4"/>
  <c r="T7" i="4"/>
  <c r="Q17" i="4"/>
  <c r="Q12" i="4"/>
  <c r="R6" i="4"/>
  <c r="K22" i="4" l="1"/>
  <c r="H22" i="4"/>
  <c r="L23" i="4" l="1"/>
  <c r="L20" i="4" s="1"/>
  <c r="I23" i="4"/>
  <c r="I20" i="4"/>
  <c r="N15" i="4"/>
  <c r="K15" i="4"/>
  <c r="H15" i="4"/>
  <c r="H14" i="4" s="1"/>
  <c r="S17" i="4"/>
  <c r="N17" i="4"/>
  <c r="R11" i="4"/>
  <c r="O11" i="4"/>
  <c r="L11" i="4"/>
  <c r="I11" i="4"/>
  <c r="R10" i="4"/>
  <c r="O10" i="4"/>
  <c r="L10" i="4"/>
  <c r="I10" i="4"/>
  <c r="Q5" i="4"/>
  <c r="O5" i="4"/>
  <c r="N6" i="4"/>
  <c r="L6" i="4"/>
  <c r="K6" i="4"/>
  <c r="M6" i="4" s="1"/>
  <c r="M5" i="4" s="1"/>
  <c r="I6" i="4"/>
  <c r="I5" i="4" s="1"/>
  <c r="H6" i="4"/>
  <c r="S7" i="4"/>
  <c r="P7" i="4"/>
  <c r="M7" i="4"/>
  <c r="J7" i="4"/>
  <c r="E7" i="4"/>
  <c r="E6" i="4"/>
  <c r="V18" i="4"/>
  <c r="S23" i="4"/>
  <c r="S22" i="4"/>
  <c r="R20" i="4"/>
  <c r="S19" i="4"/>
  <c r="S18" i="4"/>
  <c r="S15" i="4"/>
  <c r="S14" i="4"/>
  <c r="R14" i="4"/>
  <c r="Q14" i="4"/>
  <c r="R5" i="4"/>
  <c r="P23" i="4"/>
  <c r="P22" i="4"/>
  <c r="P21" i="4"/>
  <c r="O20" i="4"/>
  <c r="N20" i="4"/>
  <c r="P19" i="4"/>
  <c r="P18" i="4"/>
  <c r="P17" i="4"/>
  <c r="N16" i="4"/>
  <c r="P15" i="4"/>
  <c r="P14" i="4" s="1"/>
  <c r="O14" i="4"/>
  <c r="N14" i="4"/>
  <c r="N5" i="4"/>
  <c r="M22" i="4"/>
  <c r="M19" i="4"/>
  <c r="M18" i="4"/>
  <c r="M17" i="4"/>
  <c r="L16" i="4"/>
  <c r="K16" i="4"/>
  <c r="L14" i="4"/>
  <c r="L5" i="4"/>
  <c r="K5" i="4"/>
  <c r="J22" i="4"/>
  <c r="J19" i="4"/>
  <c r="J18" i="4"/>
  <c r="J17" i="4"/>
  <c r="I16" i="4"/>
  <c r="H16" i="4"/>
  <c r="J15" i="4"/>
  <c r="J14" i="4" s="1"/>
  <c r="I14" i="4"/>
  <c r="J11" i="4"/>
  <c r="C23" i="4"/>
  <c r="K23" i="4" s="1"/>
  <c r="M23" i="4" s="1"/>
  <c r="C21" i="4"/>
  <c r="Q21" i="4" s="1"/>
  <c r="T5" i="4" l="1"/>
  <c r="U5" i="4"/>
  <c r="U10" i="4"/>
  <c r="P11" i="4"/>
  <c r="S11" i="4"/>
  <c r="M11" i="4"/>
  <c r="U11" i="4"/>
  <c r="V11" i="4" s="1"/>
  <c r="V19" i="4"/>
  <c r="O9" i="4"/>
  <c r="M16" i="4"/>
  <c r="P13" i="4"/>
  <c r="V15" i="4"/>
  <c r="H21" i="4"/>
  <c r="K21" i="4"/>
  <c r="M21" i="4" s="1"/>
  <c r="M20" i="4" s="1"/>
  <c r="H5" i="4"/>
  <c r="V22" i="4"/>
  <c r="S6" i="4"/>
  <c r="H23" i="4"/>
  <c r="P6" i="4"/>
  <c r="M15" i="4"/>
  <c r="K14" i="4"/>
  <c r="Q16" i="4"/>
  <c r="V17" i="4"/>
  <c r="S13" i="4"/>
  <c r="M13" i="4"/>
  <c r="L9" i="4"/>
  <c r="I9" i="4"/>
  <c r="V10" i="4"/>
  <c r="J6" i="4"/>
  <c r="J5" i="4" s="1"/>
  <c r="V7" i="4"/>
  <c r="S16" i="4"/>
  <c r="P16" i="4"/>
  <c r="J16" i="4"/>
  <c r="R16" i="4"/>
  <c r="S10" i="4"/>
  <c r="P20" i="4"/>
  <c r="P10" i="4"/>
  <c r="O16" i="4"/>
  <c r="M10" i="4"/>
  <c r="K20" i="4"/>
  <c r="J10" i="4"/>
  <c r="H20" i="4"/>
  <c r="D5" i="4"/>
  <c r="D6" i="5" s="1"/>
  <c r="E5" i="4"/>
  <c r="E6" i="5" s="1"/>
  <c r="C5" i="4"/>
  <c r="C6" i="5" s="1"/>
  <c r="C12" i="4"/>
  <c r="C9" i="4" s="1"/>
  <c r="C8" i="5" s="1"/>
  <c r="D14" i="4"/>
  <c r="D9" i="5" s="1"/>
  <c r="C14" i="4"/>
  <c r="C9" i="5" s="1"/>
  <c r="C16" i="4"/>
  <c r="C10" i="5" s="1"/>
  <c r="E17" i="4"/>
  <c r="D19" i="4"/>
  <c r="E19" i="4" s="1"/>
  <c r="D18" i="4"/>
  <c r="E18" i="4" s="1"/>
  <c r="S5" i="4" l="1"/>
  <c r="P5" i="4"/>
  <c r="O24" i="4"/>
  <c r="L24" i="4"/>
  <c r="L8" i="4"/>
  <c r="O8" i="4"/>
  <c r="I8" i="4"/>
  <c r="I24" i="4"/>
  <c r="J23" i="4"/>
  <c r="V23" i="4"/>
  <c r="J21" i="4"/>
  <c r="J20" i="4" s="1"/>
  <c r="V21" i="4"/>
  <c r="S21" i="4"/>
  <c r="S20" i="4" s="1"/>
  <c r="Q20" i="4"/>
  <c r="R9" i="4"/>
  <c r="U9" i="4" s="1"/>
  <c r="E10" i="5"/>
  <c r="M14" i="4"/>
  <c r="V14" i="4"/>
  <c r="H12" i="4"/>
  <c r="K12" i="4"/>
  <c r="V6" i="4"/>
  <c r="V5" i="4"/>
  <c r="D16" i="4"/>
  <c r="D10" i="5" s="1"/>
  <c r="E12" i="4"/>
  <c r="E15" i="4"/>
  <c r="D20" i="4"/>
  <c r="D11" i="5" s="1"/>
  <c r="C20" i="4"/>
  <c r="E23" i="4"/>
  <c r="E22" i="4"/>
  <c r="E21" i="4"/>
  <c r="D7" i="3" l="1"/>
  <c r="E7" i="3"/>
  <c r="R24" i="4"/>
  <c r="R8" i="4"/>
  <c r="C7" i="3"/>
  <c r="C24" i="4"/>
  <c r="C11" i="5"/>
  <c r="C12" i="5" s="1"/>
  <c r="V20" i="4"/>
  <c r="F7" i="3"/>
  <c r="E14" i="4"/>
  <c r="E9" i="5" s="1"/>
  <c r="V16" i="4"/>
  <c r="S12" i="4"/>
  <c r="N12" i="4"/>
  <c r="J12" i="4"/>
  <c r="M12" i="4"/>
  <c r="K9" i="4"/>
  <c r="E20" i="4"/>
  <c r="E11" i="5" s="1"/>
  <c r="P12" i="4" l="1"/>
  <c r="K24" i="4"/>
  <c r="K8" i="4"/>
  <c r="S9" i="4"/>
  <c r="U8" i="4"/>
  <c r="M9" i="4"/>
  <c r="T12" i="4"/>
  <c r="F16" i="3"/>
  <c r="N9" i="4"/>
  <c r="Q9" i="4"/>
  <c r="M24" i="4" l="1"/>
  <c r="M8" i="4"/>
  <c r="S24" i="4"/>
  <c r="Q25" i="4" s="1"/>
  <c r="S8" i="4"/>
  <c r="Q24" i="4"/>
  <c r="Q8" i="4"/>
  <c r="D6" i="3"/>
  <c r="D8" i="3" s="1"/>
  <c r="P9" i="4"/>
  <c r="N24" i="4"/>
  <c r="E6" i="3" s="1"/>
  <c r="N8" i="4"/>
  <c r="F6" i="3"/>
  <c r="E16" i="3"/>
  <c r="C16" i="3"/>
  <c r="D16" i="3"/>
  <c r="H13" i="4"/>
  <c r="V12" i="4"/>
  <c r="D11" i="4"/>
  <c r="D10" i="4"/>
  <c r="R25" i="4" l="1"/>
  <c r="S25" i="4" s="1"/>
  <c r="P24" i="4"/>
  <c r="P8" i="4"/>
  <c r="L25" i="4"/>
  <c r="K25" i="4"/>
  <c r="E11" i="4"/>
  <c r="G16" i="3"/>
  <c r="F8" i="3"/>
  <c r="E8" i="3"/>
  <c r="J13" i="4"/>
  <c r="H9" i="4"/>
  <c r="D9" i="4"/>
  <c r="E10" i="4"/>
  <c r="J9" i="4" l="1"/>
  <c r="M25" i="4"/>
  <c r="T9" i="4"/>
  <c r="V9" i="4" s="1"/>
  <c r="H8" i="4"/>
  <c r="T8" i="4" s="1"/>
  <c r="O25" i="4"/>
  <c r="N25" i="4"/>
  <c r="D24" i="4"/>
  <c r="D8" i="5"/>
  <c r="D12" i="5" s="1"/>
  <c r="H24" i="4"/>
  <c r="P25" i="4" l="1"/>
  <c r="J24" i="4"/>
  <c r="J8" i="4"/>
  <c r="C6" i="3"/>
  <c r="G6" i="3" s="1"/>
  <c r="C15" i="3" s="1"/>
  <c r="T24" i="4"/>
  <c r="H25" i="4"/>
  <c r="V24" i="4" l="1"/>
  <c r="I25" i="4"/>
  <c r="J25" i="4" s="1"/>
  <c r="C8" i="3"/>
  <c r="C17" i="3" s="1"/>
  <c r="D15" i="3"/>
  <c r="F15" i="3"/>
  <c r="E15" i="3"/>
  <c r="E13" i="4"/>
  <c r="G15" i="3" l="1"/>
  <c r="E8" i="5"/>
  <c r="D17" i="3"/>
  <c r="F17" i="3"/>
  <c r="E17" i="3"/>
  <c r="G17" i="3" l="1"/>
  <c r="E12" i="5"/>
  <c r="F18" i="4"/>
  <c r="F24" i="4"/>
  <c r="F7" i="4"/>
  <c r="F6" i="4"/>
  <c r="F5" i="4"/>
  <c r="F19" i="4"/>
  <c r="F22" i="4"/>
  <c r="C25" i="4"/>
  <c r="F16" i="4"/>
  <c r="F23" i="4"/>
  <c r="F12" i="4"/>
  <c r="F21" i="4"/>
  <c r="F20" i="4"/>
  <c r="F11" i="4"/>
  <c r="F10" i="4"/>
  <c r="F19" i="3"/>
  <c r="E19" i="3"/>
  <c r="D19" i="3"/>
  <c r="C19" i="3"/>
  <c r="F13" i="4"/>
  <c r="F9" i="4"/>
  <c r="D25" i="4"/>
  <c r="F12" i="5" l="1"/>
  <c r="F6" i="5"/>
  <c r="F10" i="5"/>
  <c r="C13" i="5"/>
  <c r="F9" i="5"/>
  <c r="F11" i="5"/>
  <c r="D13" i="5"/>
  <c r="F14" i="4"/>
  <c r="F17" i="4"/>
  <c r="F15" i="4"/>
  <c r="F8" i="5"/>
  <c r="E25" i="4"/>
  <c r="E13" i="5" l="1"/>
</calcChain>
</file>

<file path=xl/sharedStrings.xml><?xml version="1.0" encoding="utf-8"?>
<sst xmlns="http://schemas.openxmlformats.org/spreadsheetml/2006/main" count="87" uniqueCount="42">
  <si>
    <t>Quadro de Custos (US$ Milhões)</t>
  </si>
  <si>
    <t>Categorias</t>
  </si>
  <si>
    <t>BID/OC</t>
  </si>
  <si>
    <t>Local</t>
  </si>
  <si>
    <t>Total</t>
  </si>
  <si>
    <t>%</t>
  </si>
  <si>
    <t xml:space="preserve">I Engenharia e Administração </t>
  </si>
  <si>
    <t xml:space="preserve">1.1   Unidade Gerenciadora e supervisão de obras </t>
  </si>
  <si>
    <t>1.2   Auditoria</t>
  </si>
  <si>
    <t>II Custos Diretos</t>
  </si>
  <si>
    <t xml:space="preserve">2.1   Urbanização de Comunidades </t>
  </si>
  <si>
    <t xml:space="preserve">2.2   Transporte e Mobilidade Urbana </t>
  </si>
  <si>
    <t>2.3   Revitalização do  Centro</t>
  </si>
  <si>
    <t>2.4   Fortalecimento Institucional</t>
  </si>
  <si>
    <t>2.1.1 - Campim Melado</t>
  </si>
  <si>
    <t>2.1.2  - Vila Ipiranga</t>
  </si>
  <si>
    <t>2.3.1 - Parque das Águas</t>
  </si>
  <si>
    <t>2.3.3 - Praça São João</t>
  </si>
  <si>
    <t>2.4.1 - Capacitação</t>
  </si>
  <si>
    <t>2.4.2 - Aquisição de Equipamentos</t>
  </si>
  <si>
    <t>2.4.3 - Sistema GEO</t>
  </si>
  <si>
    <t>1º ANO</t>
  </si>
  <si>
    <t>BID</t>
  </si>
  <si>
    <t>LOCAL</t>
  </si>
  <si>
    <t>TOTAL</t>
  </si>
  <si>
    <t>2º ANO</t>
  </si>
  <si>
    <t>3º ANO</t>
  </si>
  <si>
    <t>4º ANO</t>
  </si>
  <si>
    <t>2.2.1 - CCO / CTA</t>
  </si>
  <si>
    <t>2.1.3 - Comunidade São José</t>
  </si>
  <si>
    <t>2.1.4 - Comunidade Igrejinha</t>
  </si>
  <si>
    <t>Fonte</t>
  </si>
  <si>
    <t>Anos</t>
  </si>
  <si>
    <t>1º</t>
  </si>
  <si>
    <t>2º</t>
  </si>
  <si>
    <t>3º</t>
  </si>
  <si>
    <t>4º</t>
  </si>
  <si>
    <t>US$ milhão</t>
  </si>
  <si>
    <t>Acumulado</t>
  </si>
  <si>
    <t xml:space="preserve">Cronograma de Execução </t>
  </si>
  <si>
    <t xml:space="preserve">2.3.2 - Praça Leoni Ramos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</si>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</sst>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43" fontId="9" fillId="0" borderId="0" applyFont="0" applyFill="0" applyBorder="0" applyAlignment="0" applyProtection="0"/>
  </cellStyleXfs>
  <cellXfs count="83">
    <xf numFmtId="0" fontId="0" fillId="0" borderId="0" xfId="0"/>
    <xf numFmtId="43" fontId="0" fillId="0" borderId="0" xfId="1" applyFont="1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/>
    <xf numFmtId="43" fontId="3" fillId="0" borderId="1" xfId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1" fontId="0" fillId="0" borderId="0" xfId="0" applyNumberFormat="1"/>
    <xf numFmtId="3" fontId="2" fillId="0" borderId="1" xfId="0" applyNumberFormat="1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9" fontId="3" fillId="0" borderId="1" xfId="2" applyFont="1" applyBorder="1" applyAlignment="1">
      <alignment horizontal="right" vertical="center" wrapText="1"/>
    </xf>
    <xf numFmtId="0" fontId="3" fillId="0" borderId="0" xfId="0" applyFont="1"/>
    <xf numFmtId="164" fontId="3" fillId="0" borderId="1" xfId="1" applyNumberFormat="1" applyFont="1" applyBorder="1"/>
    <xf numFmtId="164" fontId="2" fillId="0" borderId="1" xfId="1" applyNumberFormat="1" applyFont="1" applyBorder="1"/>
    <xf numFmtId="43" fontId="3" fillId="0" borderId="1" xfId="1" applyFont="1" applyBorder="1"/>
    <xf numFmtId="9" fontId="3" fillId="0" borderId="0" xfId="2" applyFont="1"/>
    <xf numFmtId="164" fontId="3" fillId="0" borderId="0" xfId="1" applyNumberFormat="1" applyFont="1"/>
    <xf numFmtId="164" fontId="2" fillId="2" borderId="1" xfId="1" applyNumberFormat="1" applyFont="1" applyFill="1" applyBorder="1"/>
    <xf numFmtId="9" fontId="2" fillId="0" borderId="1" xfId="2" applyFont="1" applyBorder="1" applyAlignment="1">
      <alignment horizontal="right" vertical="center" wrapText="1"/>
    </xf>
    <xf numFmtId="166" fontId="0" fillId="0" borderId="0" xfId="0" applyNumberForma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9" fontId="2" fillId="3" borderId="1" xfId="2" applyFont="1" applyFill="1" applyBorder="1" applyAlignment="1">
      <alignment horizontal="right" vertical="center" wrapText="1"/>
    </xf>
    <xf numFmtId="164" fontId="2" fillId="3" borderId="1" xfId="1" applyNumberFormat="1" applyFont="1" applyFill="1" applyBorder="1"/>
    <xf numFmtId="0" fontId="2" fillId="3" borderId="4" xfId="0" applyFont="1" applyFill="1" applyBorder="1" applyAlignment="1">
      <alignment horizontal="center" vertical="center" wrapText="1"/>
    </xf>
    <xf numFmtId="164" fontId="2" fillId="2" borderId="4" xfId="1" applyNumberFormat="1" applyFont="1" applyFill="1" applyBorder="1"/>
    <xf numFmtId="164" fontId="3" fillId="0" borderId="4" xfId="1" applyNumberFormat="1" applyFont="1" applyBorder="1"/>
    <xf numFmtId="164" fontId="2" fillId="0" borderId="4" xfId="1" applyNumberFormat="1" applyFont="1" applyBorder="1"/>
    <xf numFmtId="164" fontId="2" fillId="3" borderId="4" xfId="1" applyNumberFormat="1" applyFont="1" applyFill="1" applyBorder="1"/>
    <xf numFmtId="0" fontId="2" fillId="3" borderId="5" xfId="0" applyFont="1" applyFill="1" applyBorder="1" applyAlignment="1">
      <alignment horizontal="center" vertical="center" wrapText="1"/>
    </xf>
    <xf numFmtId="164" fontId="2" fillId="2" borderId="5" xfId="1" applyNumberFormat="1" applyFont="1" applyFill="1" applyBorder="1"/>
    <xf numFmtId="164" fontId="3" fillId="0" borderId="5" xfId="1" applyNumberFormat="1" applyFont="1" applyBorder="1"/>
    <xf numFmtId="164" fontId="2" fillId="0" borderId="5" xfId="1" applyNumberFormat="1" applyFont="1" applyBorder="1"/>
    <xf numFmtId="43" fontId="3" fillId="0" borderId="5" xfId="1" applyFont="1" applyBorder="1"/>
    <xf numFmtId="164" fontId="2" fillId="3" borderId="5" xfId="1" applyNumberFormat="1" applyFont="1" applyFill="1" applyBorder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2" fillId="2" borderId="6" xfId="1" applyNumberFormat="1" applyFont="1" applyFill="1" applyBorder="1"/>
    <xf numFmtId="164" fontId="2" fillId="2" borderId="7" xfId="1" applyNumberFormat="1" applyFont="1" applyFill="1" applyBorder="1"/>
    <xf numFmtId="164" fontId="3" fillId="0" borderId="6" xfId="1" applyNumberFormat="1" applyFont="1" applyBorder="1"/>
    <xf numFmtId="164" fontId="3" fillId="0" borderId="7" xfId="1" applyNumberFormat="1" applyFont="1" applyBorder="1"/>
    <xf numFmtId="164" fontId="2" fillId="0" borderId="6" xfId="1" applyNumberFormat="1" applyFont="1" applyBorder="1"/>
    <xf numFmtId="164" fontId="2" fillId="0" borderId="7" xfId="1" applyNumberFormat="1" applyFont="1" applyBorder="1"/>
    <xf numFmtId="164" fontId="2" fillId="3" borderId="6" xfId="1" applyNumberFormat="1" applyFont="1" applyFill="1" applyBorder="1"/>
    <xf numFmtId="164" fontId="2" fillId="3" borderId="7" xfId="1" applyNumberFormat="1" applyFont="1" applyFill="1" applyBorder="1"/>
    <xf numFmtId="43" fontId="3" fillId="0" borderId="4" xfId="1" applyFont="1" applyBorder="1"/>
    <xf numFmtId="43" fontId="3" fillId="0" borderId="6" xfId="1" applyFont="1" applyBorder="1"/>
    <xf numFmtId="43" fontId="3" fillId="0" borderId="7" xfId="1" applyFont="1" applyBorder="1"/>
    <xf numFmtId="9" fontId="3" fillId="0" borderId="1" xfId="2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1" xfId="2" applyFont="1" applyBorder="1" applyAlignment="1">
      <alignment horizontal="center"/>
    </xf>
    <xf numFmtId="9" fontId="3" fillId="0" borderId="4" xfId="2" applyFont="1" applyBorder="1" applyAlignment="1">
      <alignment horizontal="center"/>
    </xf>
    <xf numFmtId="9" fontId="3" fillId="0" borderId="6" xfId="2" applyFont="1" applyBorder="1" applyAlignment="1">
      <alignment horizontal="center"/>
    </xf>
    <xf numFmtId="9" fontId="3" fillId="0" borderId="7" xfId="2" applyFont="1" applyBorder="1" applyAlignment="1">
      <alignment horizontal="center"/>
    </xf>
    <xf numFmtId="9" fontId="3" fillId="0" borderId="5" xfId="2" applyFont="1" applyBorder="1" applyAlignment="1">
      <alignment horizontal="center"/>
    </xf>
    <xf numFmtId="9" fontId="0" fillId="0" borderId="0" xfId="0" applyNumberFormat="1"/>
    <xf numFmtId="166" fontId="0" fillId="0" borderId="1" xfId="2" applyNumberFormat="1" applyFont="1" applyBorder="1" applyAlignment="1">
      <alignment horizontal="center"/>
    </xf>
    <xf numFmtId="164" fontId="3" fillId="0" borderId="0" xfId="0" applyNumberFormat="1" applyFont="1"/>
    <xf numFmtId="164" fontId="3" fillId="0" borderId="8" xfId="1" applyNumberFormat="1" applyFont="1" applyBorder="1"/>
    <xf numFmtId="164" fontId="3" fillId="0" borderId="9" xfId="1" applyNumberFormat="1" applyFont="1" applyBorder="1"/>
    <xf numFmtId="9" fontId="3" fillId="0" borderId="0" xfId="0" applyNumberFormat="1" applyFont="1"/>
    <xf numFmtId="16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12">
    <cellStyle name="Comma 2" xfId="7"/>
    <cellStyle name="NívelLinha_1 2" xfId="5"/>
    <cellStyle name="Normal" xfId="0" builtinId="0"/>
    <cellStyle name="Normal 2" xfId="4"/>
    <cellStyle name="Normal 3 2" xfId="8"/>
    <cellStyle name="Normal 5" xfId="9"/>
    <cellStyle name="Normal 6" xfId="10"/>
    <cellStyle name="Porcentagem" xfId="2" builtinId="5"/>
    <cellStyle name="Separador de milhares 2" xfId="3"/>
    <cellStyle name="Separador de milhares 5" xfId="11"/>
    <cellStyle name="Vírgula" xfId="1" builtinId="3"/>
    <cellStyle name="Vírgula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SPEZIALI/Desktop/BID%20NITER&#211;I/COMPONENTE%20I%20-%20MELHORAMENTO%20BAIRROS/CRONOGRAMA%20DE%20DESEMBOLSO%20VILA%20E%20CAMPI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SPEZIALI/Desktop/BID%20NITER&#211;I/COMPONENTE%20I%20-%20MELHORAMENTO%20BAIRROS/CRONOGRAMA%20DESEMBOLSO%20IGREJINHA%20E%20SAO%20JO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o_Ano_R$"/>
    </sheetNames>
    <sheetDataSet>
      <sheetData sheetId="0">
        <row r="21">
          <cell r="E21">
            <v>2086423.0625</v>
          </cell>
          <cell r="F21">
            <v>3285346.5364999999</v>
          </cell>
          <cell r="G21">
            <v>2220326.6909999996</v>
          </cell>
          <cell r="H21">
            <v>682795.15</v>
          </cell>
        </row>
        <row r="35">
          <cell r="E35">
            <v>7355443.6775000002</v>
          </cell>
          <cell r="F35">
            <v>4893693.5674999999</v>
          </cell>
          <cell r="G35">
            <v>3365932.7949999999</v>
          </cell>
          <cell r="H35">
            <v>230511.25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ão Jose_FINAL_BID"/>
      <sheetName val="Igrejinha_FINAL_BID"/>
      <sheetName val="Crono_Ano_R$"/>
    </sheetNames>
    <sheetDataSet>
      <sheetData sheetId="0"/>
      <sheetData sheetId="1"/>
      <sheetData sheetId="2">
        <row r="16">
          <cell r="E16">
            <v>1117605.3105000004</v>
          </cell>
          <cell r="F16">
            <v>4588655.8220000016</v>
          </cell>
          <cell r="G16">
            <v>10415041.374500003</v>
          </cell>
          <cell r="H16">
            <v>7018887.4430000009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showGridLines="0" workbookViewId="0">
      <selection activeCell="B41" sqref="B41"/>
    </sheetView>
  </sheetViews>
  <sheetFormatPr defaultRowHeight="15" x14ac:dyDescent="0.25"/>
  <cols>
    <col min="1" max="1" width="4.28515625" customWidth="1"/>
    <col min="2" max="2" width="30.28515625" bestFit="1" customWidth="1"/>
    <col min="3" max="3" width="9.5703125" customWidth="1"/>
    <col min="4" max="4" width="9.42578125" customWidth="1"/>
    <col min="5" max="6" width="10.140625" customWidth="1"/>
  </cols>
  <sheetData>
    <row r="2" spans="2:6" ht="15.75" customHeight="1" x14ac:dyDescent="0.25"/>
    <row r="3" spans="2:6" x14ac:dyDescent="0.25">
      <c r="B3" s="72" t="s">
        <v>0</v>
      </c>
      <c r="C3" s="72"/>
      <c r="D3" s="72"/>
      <c r="E3" s="72"/>
      <c r="F3" s="72"/>
    </row>
    <row r="4" spans="2:6" x14ac:dyDescent="0.25">
      <c r="B4" s="72"/>
      <c r="C4" s="72"/>
      <c r="D4" s="72"/>
      <c r="E4" s="72"/>
      <c r="F4" s="72"/>
    </row>
    <row r="5" spans="2:6" ht="25.5" x14ac:dyDescent="0.25">
      <c r="B5" s="29" t="s">
        <v>1</v>
      </c>
      <c r="C5" s="29" t="s">
        <v>2</v>
      </c>
      <c r="D5" s="29" t="s">
        <v>3</v>
      </c>
      <c r="E5" s="29" t="s">
        <v>4</v>
      </c>
      <c r="F5" s="29" t="s">
        <v>5</v>
      </c>
    </row>
    <row r="6" spans="2:6" x14ac:dyDescent="0.25">
      <c r="B6" s="3" t="s">
        <v>6</v>
      </c>
      <c r="C6" s="4">
        <f>+'CRONOGRAMA EXECUÇÃO'!C5</f>
        <v>2630</v>
      </c>
      <c r="D6" s="4">
        <f>+'CRONOGRAMA EXECUÇÃO'!D5</f>
        <v>577</v>
      </c>
      <c r="E6" s="4">
        <f>+'CRONOGRAMA EXECUÇÃO'!E5</f>
        <v>3207</v>
      </c>
      <c r="F6" s="14">
        <f>+E6/$E$12</f>
        <v>7.2670906817767583E-2</v>
      </c>
    </row>
    <row r="7" spans="2:6" x14ac:dyDescent="0.25">
      <c r="B7" s="3" t="s">
        <v>9</v>
      </c>
      <c r="C7" s="5"/>
      <c r="D7" s="5"/>
      <c r="E7" s="5"/>
      <c r="F7" s="14"/>
    </row>
    <row r="8" spans="2:6" x14ac:dyDescent="0.25">
      <c r="B8" s="3" t="s">
        <v>10</v>
      </c>
      <c r="C8" s="6">
        <f>+'CRONOGRAMA EXECUÇÃO'!C9</f>
        <v>14000.212265</v>
      </c>
      <c r="D8" s="6">
        <f>+'CRONOGRAMA EXECUÇÃO'!D9</f>
        <v>16192.236314999998</v>
      </c>
      <c r="E8" s="6">
        <f>+'CRONOGRAMA EXECUÇÃO'!E9</f>
        <v>30192.448579999997</v>
      </c>
      <c r="F8" s="14">
        <f>+E8/$E$12</f>
        <v>0.68416358508182695</v>
      </c>
    </row>
    <row r="9" spans="2:6" x14ac:dyDescent="0.25">
      <c r="B9" s="3" t="s">
        <v>11</v>
      </c>
      <c r="C9" s="4">
        <f>+'CRONOGRAMA EXECUÇÃO'!C14</f>
        <v>5630</v>
      </c>
      <c r="D9" s="4">
        <f>+'CRONOGRAMA EXECUÇÃO'!D14</f>
        <v>0</v>
      </c>
      <c r="E9" s="4">
        <f>+'CRONOGRAMA EXECUÇÃO'!E14</f>
        <v>5630</v>
      </c>
      <c r="F9" s="14">
        <f>+E9/$E$12</f>
        <v>0.127576303518563</v>
      </c>
    </row>
    <row r="10" spans="2:6" x14ac:dyDescent="0.25">
      <c r="B10" s="3" t="s">
        <v>12</v>
      </c>
      <c r="C10" s="4">
        <f>+'CRONOGRAMA EXECUÇÃO'!C16</f>
        <v>2335</v>
      </c>
      <c r="D10" s="4">
        <f>+'CRONOGRAMA EXECUÇÃO'!D16</f>
        <v>600.11390000000006</v>
      </c>
      <c r="E10" s="4">
        <f>+'CRONOGRAMA EXECUÇÃO'!E16</f>
        <v>2935.0038999999997</v>
      </c>
      <c r="F10" s="14">
        <f>+E10/$E$12</f>
        <v>6.6507450865819912E-2</v>
      </c>
    </row>
    <row r="11" spans="2:6" x14ac:dyDescent="0.25">
      <c r="B11" s="3" t="s">
        <v>13</v>
      </c>
      <c r="C11" s="4">
        <f>+'CRONOGRAMA EXECUÇÃO'!C20</f>
        <v>1875</v>
      </c>
      <c r="D11" s="4">
        <f>+'CRONOGRAMA EXECUÇÃO'!D20</f>
        <v>291</v>
      </c>
      <c r="E11" s="4">
        <f>+'CRONOGRAMA EXECUÇÃO'!E20</f>
        <v>2166</v>
      </c>
      <c r="F11" s="14">
        <f>+E11/$E$12</f>
        <v>4.9081753716022636E-2</v>
      </c>
    </row>
    <row r="12" spans="2:6" x14ac:dyDescent="0.25">
      <c r="B12" s="30" t="s">
        <v>4</v>
      </c>
      <c r="C12" s="31">
        <f>C11+C10+C9+C8+C6</f>
        <v>26470.212265000002</v>
      </c>
      <c r="D12" s="31">
        <f>D11+D10+D9+D8+D6</f>
        <v>17660.350214999999</v>
      </c>
      <c r="E12" s="31">
        <f>E11+E10+E9+E8+E6</f>
        <v>44130.452479999993</v>
      </c>
      <c r="F12" s="32">
        <f>+E12/E12</f>
        <v>1</v>
      </c>
    </row>
    <row r="13" spans="2:6" x14ac:dyDescent="0.25">
      <c r="B13" s="7" t="s">
        <v>5</v>
      </c>
      <c r="C13" s="58">
        <f>C12/E12</f>
        <v>0.59981737728604423</v>
      </c>
      <c r="D13" s="58">
        <f>D12/E12</f>
        <v>0.40018511532379381</v>
      </c>
      <c r="E13" s="59">
        <f>C13+D13</f>
        <v>1.0000024926098381</v>
      </c>
      <c r="F13" s="7"/>
    </row>
    <row r="17" spans="6:6" x14ac:dyDescent="0.25">
      <c r="F17" s="65"/>
    </row>
  </sheetData>
  <mergeCells count="1">
    <mergeCell ref="B3:F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showGridLines="0" workbookViewId="0">
      <selection activeCell="G26" sqref="G26"/>
    </sheetView>
  </sheetViews>
  <sheetFormatPr defaultRowHeight="15" x14ac:dyDescent="0.25"/>
  <cols>
    <col min="2" max="2" width="13.5703125" customWidth="1"/>
    <col min="3" max="3" width="7" bestFit="1" customWidth="1"/>
    <col min="4" max="6" width="8" bestFit="1" customWidth="1"/>
    <col min="7" max="7" width="12.28515625" customWidth="1"/>
  </cols>
  <sheetData>
    <row r="2" spans="2:7" x14ac:dyDescent="0.25">
      <c r="B2" s="77" t="s">
        <v>39</v>
      </c>
      <c r="C2" s="77"/>
      <c r="D2" s="77"/>
      <c r="E2" s="77"/>
      <c r="F2" s="77"/>
      <c r="G2" s="77"/>
    </row>
    <row r="3" spans="2:7" x14ac:dyDescent="0.25">
      <c r="G3" t="s">
        <v>37</v>
      </c>
    </row>
    <row r="4" spans="2:7" x14ac:dyDescent="0.25">
      <c r="B4" s="73" t="s">
        <v>31</v>
      </c>
      <c r="C4" s="74" t="s">
        <v>32</v>
      </c>
      <c r="D4" s="74"/>
      <c r="E4" s="74"/>
      <c r="F4" s="74"/>
      <c r="G4" s="75" t="s">
        <v>4</v>
      </c>
    </row>
    <row r="5" spans="2:7" x14ac:dyDescent="0.25">
      <c r="B5" s="73"/>
      <c r="C5" s="25" t="s">
        <v>33</v>
      </c>
      <c r="D5" s="25" t="s">
        <v>34</v>
      </c>
      <c r="E5" s="25" t="s">
        <v>35</v>
      </c>
      <c r="F5" s="25" t="s">
        <v>36</v>
      </c>
      <c r="G5" s="76"/>
    </row>
    <row r="6" spans="2:7" x14ac:dyDescent="0.25">
      <c r="B6" s="25" t="s">
        <v>22</v>
      </c>
      <c r="C6" s="27">
        <f>+'CRONOGRAMA EXECUÇÃO'!H24</f>
        <v>2162.05265525</v>
      </c>
      <c r="D6" s="27">
        <f>+'CRONOGRAMA EXECUÇÃO'!K24</f>
        <v>7371.7379110000011</v>
      </c>
      <c r="E6" s="27">
        <f>+'CRONOGRAMA EXECUÇÃO'!N24</f>
        <v>8965.7506872500016</v>
      </c>
      <c r="F6" s="27">
        <f>+'CRONOGRAMA EXECUÇÃO'!Q24</f>
        <v>7970.3537215000006</v>
      </c>
      <c r="G6" s="27">
        <f>SUM(C6:F6)</f>
        <v>26469.894975000003</v>
      </c>
    </row>
    <row r="7" spans="2:7" x14ac:dyDescent="0.25">
      <c r="B7" s="25" t="s">
        <v>23</v>
      </c>
      <c r="C7" s="27">
        <f>+'CRONOGRAMA EXECUÇÃO'!I24</f>
        <v>5435.4833700000008</v>
      </c>
      <c r="D7" s="27">
        <f>+'CRONOGRAMA EXECUÇÃO'!L24</f>
        <v>5269.9400519999999</v>
      </c>
      <c r="E7" s="27">
        <f>+'CRONOGRAMA EXECUÇÃO'!O24</f>
        <v>4553.939742999999</v>
      </c>
      <c r="F7" s="27">
        <f>+'CRONOGRAMA EXECUÇÃO'!R24</f>
        <v>2401.2732000000001</v>
      </c>
      <c r="G7" s="27">
        <f>SUM(C7:F7)-1</f>
        <v>17659.636364999998</v>
      </c>
    </row>
    <row r="8" spans="2:7" x14ac:dyDescent="0.25">
      <c r="B8" s="25" t="s">
        <v>4</v>
      </c>
      <c r="C8" s="27">
        <f>SUM(C6:C7)</f>
        <v>7597.5360252500013</v>
      </c>
      <c r="D8" s="27">
        <f t="shared" ref="D8:F8" si="0">SUM(D6:D7)</f>
        <v>12641.677963000002</v>
      </c>
      <c r="E8" s="27">
        <f t="shared" si="0"/>
        <v>13519.690430250001</v>
      </c>
      <c r="F8" s="27">
        <f t="shared" si="0"/>
        <v>10371.626921500001</v>
      </c>
      <c r="G8" s="27">
        <f>SUM(C8:F8)-1</f>
        <v>44129.531340000009</v>
      </c>
    </row>
    <row r="11" spans="2:7" x14ac:dyDescent="0.25">
      <c r="B11" s="77" t="s">
        <v>39</v>
      </c>
      <c r="C11" s="77"/>
      <c r="D11" s="77"/>
      <c r="E11" s="77"/>
      <c r="F11" s="77"/>
      <c r="G11" s="77"/>
    </row>
    <row r="12" spans="2:7" x14ac:dyDescent="0.25">
      <c r="G12" s="28" t="s">
        <v>5</v>
      </c>
    </row>
    <row r="13" spans="2:7" x14ac:dyDescent="0.25">
      <c r="B13" s="73" t="s">
        <v>31</v>
      </c>
      <c r="C13" s="74" t="s">
        <v>32</v>
      </c>
      <c r="D13" s="74"/>
      <c r="E13" s="74"/>
      <c r="F13" s="74"/>
      <c r="G13" s="75" t="s">
        <v>4</v>
      </c>
    </row>
    <row r="14" spans="2:7" x14ac:dyDescent="0.25">
      <c r="B14" s="73"/>
      <c r="C14" s="25" t="s">
        <v>33</v>
      </c>
      <c r="D14" s="25" t="s">
        <v>34</v>
      </c>
      <c r="E14" s="25" t="s">
        <v>35</v>
      </c>
      <c r="F14" s="25" t="s">
        <v>36</v>
      </c>
      <c r="G14" s="76"/>
    </row>
    <row r="15" spans="2:7" x14ac:dyDescent="0.25">
      <c r="B15" s="25" t="s">
        <v>22</v>
      </c>
      <c r="C15" s="26">
        <f>+C6/$G$6</f>
        <v>8.1679683931197761E-2</v>
      </c>
      <c r="D15" s="26">
        <f>+D6/$G$6</f>
        <v>0.2784951703798742</v>
      </c>
      <c r="E15" s="26">
        <f>+E6/$G$6</f>
        <v>0.33871500796349496</v>
      </c>
      <c r="F15" s="26">
        <f>+F6/$G$6</f>
        <v>0.3011101377254331</v>
      </c>
      <c r="G15" s="26">
        <f>SUM(C15:F15)</f>
        <v>1</v>
      </c>
    </row>
    <row r="16" spans="2:7" x14ac:dyDescent="0.25">
      <c r="B16" s="25" t="s">
        <v>23</v>
      </c>
      <c r="C16" s="26">
        <f>+C7/$G$7</f>
        <v>0.30779135298463445</v>
      </c>
      <c r="D16" s="26">
        <f>+D7/$G$7</f>
        <v>0.29841724614695941</v>
      </c>
      <c r="E16" s="26">
        <f>+E7/$G$7</f>
        <v>0.25787279244467043</v>
      </c>
      <c r="F16" s="26">
        <f>+F7/$G$7</f>
        <v>0.13597523473128437</v>
      </c>
      <c r="G16" s="26">
        <f>SUM(C16:F16)</f>
        <v>1.0000566263075488</v>
      </c>
    </row>
    <row r="17" spans="2:7" x14ac:dyDescent="0.25">
      <c r="B17" s="25" t="s">
        <v>4</v>
      </c>
      <c r="C17" s="66">
        <f>+C8/$G$8</f>
        <v>0.1721644394252477</v>
      </c>
      <c r="D17" s="66">
        <f>+D8/$G$8</f>
        <v>0.28646753271864678</v>
      </c>
      <c r="E17" s="66">
        <f>+E8/$G$8</f>
        <v>0.30636378904834294</v>
      </c>
      <c r="F17" s="66">
        <f>+F8/$G$8</f>
        <v>0.23502689937019391</v>
      </c>
      <c r="G17" s="26">
        <f>SUM(C17:F17)</f>
        <v>1.0000226605624314</v>
      </c>
    </row>
    <row r="18" spans="2:7" ht="8.25" customHeight="1" x14ac:dyDescent="0.25"/>
    <row r="19" spans="2:7" x14ac:dyDescent="0.25">
      <c r="B19" s="25" t="s">
        <v>38</v>
      </c>
      <c r="C19" s="26">
        <f>+C17</f>
        <v>0.1721644394252477</v>
      </c>
      <c r="D19" s="26">
        <f>+C17+D17</f>
        <v>0.45863197214389451</v>
      </c>
      <c r="E19" s="26">
        <f>+C17+D17+E17</f>
        <v>0.76499576119223744</v>
      </c>
      <c r="F19" s="26">
        <f>+C17+D17+E17+F17</f>
        <v>1.0000226605624314</v>
      </c>
      <c r="G19" s="26"/>
    </row>
  </sheetData>
  <mergeCells count="8">
    <mergeCell ref="B4:B5"/>
    <mergeCell ref="C4:F4"/>
    <mergeCell ref="G4:G5"/>
    <mergeCell ref="B2:G2"/>
    <mergeCell ref="B13:B14"/>
    <mergeCell ref="C13:F13"/>
    <mergeCell ref="G13:G14"/>
    <mergeCell ref="B11:G1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2"/>
  <sheetViews>
    <sheetView showGridLines="0" tabSelected="1" zoomScale="130" zoomScaleNormal="130" workbookViewId="0">
      <pane ySplit="4" topLeftCell="A5" activePane="bottomLeft" state="frozen"/>
      <selection pane="bottomLeft" activeCell="M31" sqref="M31"/>
    </sheetView>
  </sheetViews>
  <sheetFormatPr defaultRowHeight="15" x14ac:dyDescent="0.25"/>
  <cols>
    <col min="1" max="1" width="0.7109375" customWidth="1"/>
    <col min="2" max="2" width="39.42578125" bestFit="1" customWidth="1"/>
    <col min="3" max="3" width="7.5703125" bestFit="1" customWidth="1"/>
    <col min="4" max="5" width="7.28515625" bestFit="1" customWidth="1"/>
    <col min="6" max="6" width="6.140625" bestFit="1" customWidth="1"/>
    <col min="7" max="7" width="1.42578125" customWidth="1"/>
    <col min="8" max="8" width="6.7109375" style="15" bestFit="1" customWidth="1"/>
    <col min="9" max="9" width="7.42578125" style="15" bestFit="1" customWidth="1"/>
    <col min="10" max="10" width="7.140625" style="15" bestFit="1" customWidth="1"/>
    <col min="11" max="11" width="6.7109375" style="15" bestFit="1" customWidth="1"/>
    <col min="12" max="12" width="7.42578125" style="15" bestFit="1" customWidth="1"/>
    <col min="13" max="13" width="7.7109375" style="15" bestFit="1" customWidth="1"/>
    <col min="14" max="14" width="6.7109375" style="15" bestFit="1" customWidth="1"/>
    <col min="15" max="15" width="7.42578125" style="15" bestFit="1" customWidth="1"/>
    <col min="16" max="16" width="7.7109375" style="15" bestFit="1" customWidth="1"/>
    <col min="17" max="17" width="6.7109375" style="15" bestFit="1" customWidth="1"/>
    <col min="18" max="18" width="7.42578125" style="15" bestFit="1" customWidth="1"/>
    <col min="19" max="22" width="7.7109375" style="15" bestFit="1" customWidth="1"/>
    <col min="23" max="23" width="1.140625" style="15" customWidth="1"/>
  </cols>
  <sheetData>
    <row r="1" spans="2:26" ht="5.25" customHeight="1" x14ac:dyDescent="0.25"/>
    <row r="2" spans="2:26" x14ac:dyDescent="0.25">
      <c r="B2" s="72" t="s">
        <v>0</v>
      </c>
      <c r="C2" s="72"/>
      <c r="D2" s="72"/>
      <c r="E2" s="72"/>
      <c r="F2" s="72"/>
      <c r="H2" s="79" t="s">
        <v>21</v>
      </c>
      <c r="I2" s="79"/>
      <c r="J2" s="80"/>
      <c r="K2" s="81" t="s">
        <v>25</v>
      </c>
      <c r="L2" s="79"/>
      <c r="M2" s="82"/>
      <c r="N2" s="78" t="s">
        <v>26</v>
      </c>
      <c r="O2" s="79"/>
      <c r="P2" s="80"/>
      <c r="Q2" s="81" t="s">
        <v>27</v>
      </c>
      <c r="R2" s="79"/>
      <c r="S2" s="82"/>
      <c r="T2" s="78" t="s">
        <v>24</v>
      </c>
      <c r="U2" s="79"/>
      <c r="V2" s="79"/>
    </row>
    <row r="3" spans="2:26" x14ac:dyDescent="0.25">
      <c r="B3" s="72"/>
      <c r="C3" s="72"/>
      <c r="D3" s="72"/>
      <c r="E3" s="72"/>
      <c r="F3" s="72"/>
      <c r="H3" s="79"/>
      <c r="I3" s="79"/>
      <c r="J3" s="80"/>
      <c r="K3" s="81"/>
      <c r="L3" s="79"/>
      <c r="M3" s="82"/>
      <c r="N3" s="78"/>
      <c r="O3" s="79"/>
      <c r="P3" s="80"/>
      <c r="Q3" s="81"/>
      <c r="R3" s="79"/>
      <c r="S3" s="82"/>
      <c r="T3" s="78"/>
      <c r="U3" s="79"/>
      <c r="V3" s="79"/>
    </row>
    <row r="4" spans="2:26" ht="12.75" customHeight="1" x14ac:dyDescent="0.25"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H4" s="29" t="s">
        <v>22</v>
      </c>
      <c r="I4" s="29" t="s">
        <v>23</v>
      </c>
      <c r="J4" s="34" t="s">
        <v>24</v>
      </c>
      <c r="K4" s="45" t="s">
        <v>22</v>
      </c>
      <c r="L4" s="29" t="s">
        <v>23</v>
      </c>
      <c r="M4" s="46" t="s">
        <v>24</v>
      </c>
      <c r="N4" s="39" t="s">
        <v>22</v>
      </c>
      <c r="O4" s="29" t="s">
        <v>23</v>
      </c>
      <c r="P4" s="34" t="s">
        <v>24</v>
      </c>
      <c r="Q4" s="45" t="s">
        <v>22</v>
      </c>
      <c r="R4" s="29" t="s">
        <v>23</v>
      </c>
      <c r="S4" s="46" t="s">
        <v>24</v>
      </c>
      <c r="T4" s="39" t="s">
        <v>22</v>
      </c>
      <c r="U4" s="29" t="s">
        <v>23</v>
      </c>
      <c r="V4" s="29" t="s">
        <v>24</v>
      </c>
      <c r="W4" s="20"/>
    </row>
    <row r="5" spans="2:26" x14ac:dyDescent="0.25">
      <c r="B5" s="2" t="s">
        <v>6</v>
      </c>
      <c r="C5" s="12">
        <f>C6+C7</f>
        <v>2630</v>
      </c>
      <c r="D5" s="12">
        <f t="shared" ref="D5:E5" si="0">D6+D7</f>
        <v>577</v>
      </c>
      <c r="E5" s="12">
        <f t="shared" si="0"/>
        <v>3207</v>
      </c>
      <c r="F5" s="22">
        <f>+E5/$E$24</f>
        <v>7.2670906817767583E-2</v>
      </c>
      <c r="H5" s="21">
        <f>H6+H7</f>
        <v>124.25</v>
      </c>
      <c r="I5" s="21">
        <f t="shared" ref="I5" si="1">I6+I7</f>
        <v>27.25</v>
      </c>
      <c r="J5" s="35">
        <f t="shared" ref="J5" si="2">J6+J7</f>
        <v>151.5</v>
      </c>
      <c r="K5" s="47">
        <f>K6+K7</f>
        <v>497</v>
      </c>
      <c r="L5" s="21">
        <f t="shared" ref="L5" si="3">L6+L7</f>
        <v>109</v>
      </c>
      <c r="M5" s="48">
        <f t="shared" ref="M5" si="4">M6+M7</f>
        <v>606</v>
      </c>
      <c r="N5" s="40">
        <f>N6+N7</f>
        <v>934.75</v>
      </c>
      <c r="O5" s="21">
        <f t="shared" ref="O5" si="5">O6+O7</f>
        <v>190.65</v>
      </c>
      <c r="P5" s="35">
        <f t="shared" ref="P5" si="6">P6+P7</f>
        <v>1125.4000000000001</v>
      </c>
      <c r="Q5" s="47">
        <f>Q6+Q7</f>
        <v>1073.5</v>
      </c>
      <c r="R5" s="21">
        <f t="shared" ref="R5" si="7">R6+R7</f>
        <v>250.5</v>
      </c>
      <c r="S5" s="48">
        <f t="shared" ref="S5" si="8">S6+S7</f>
        <v>1324</v>
      </c>
      <c r="T5" s="40">
        <f t="shared" ref="T5:T24" si="9">H5+K5+N5+Q5</f>
        <v>2629.5</v>
      </c>
      <c r="U5" s="21">
        <f t="shared" ref="U5:U23" si="10">I5+L5+O5+R5</f>
        <v>577.4</v>
      </c>
      <c r="V5" s="21">
        <f>U5+T5</f>
        <v>3206.9</v>
      </c>
      <c r="W5" s="20"/>
      <c r="X5" s="71"/>
      <c r="Y5" s="71"/>
      <c r="Z5" s="71"/>
    </row>
    <row r="6" spans="2:26" x14ac:dyDescent="0.25">
      <c r="B6" s="3" t="s">
        <v>7</v>
      </c>
      <c r="C6" s="4">
        <v>2485</v>
      </c>
      <c r="D6" s="5">
        <v>545</v>
      </c>
      <c r="E6" s="4">
        <f>D6+C6</f>
        <v>3030</v>
      </c>
      <c r="F6" s="14">
        <f t="shared" ref="F6:F23" si="11">+E6/$E$24</f>
        <v>6.8660070987787897E-2</v>
      </c>
      <c r="H6" s="16">
        <f>C6*0.05</f>
        <v>124.25</v>
      </c>
      <c r="I6" s="16">
        <f>D6*0.05</f>
        <v>27.25</v>
      </c>
      <c r="J6" s="36">
        <f>I6+H6</f>
        <v>151.5</v>
      </c>
      <c r="K6" s="49">
        <f>+C6*0.2</f>
        <v>497</v>
      </c>
      <c r="L6" s="16">
        <f>D6*0.2</f>
        <v>109</v>
      </c>
      <c r="M6" s="50">
        <f>L6+K6</f>
        <v>606</v>
      </c>
      <c r="N6" s="41">
        <f>C6*0.35</f>
        <v>869.75</v>
      </c>
      <c r="O6" s="16">
        <f>D6*0.35-0.1</f>
        <v>190.65</v>
      </c>
      <c r="P6" s="36">
        <f>O6+N6</f>
        <v>1060.4000000000001</v>
      </c>
      <c r="Q6" s="49">
        <f>C6*0.3+248</f>
        <v>993.5</v>
      </c>
      <c r="R6" s="16">
        <f>+D6*0.3+55</f>
        <v>218.5</v>
      </c>
      <c r="S6" s="50">
        <f>R6+Q6</f>
        <v>1212</v>
      </c>
      <c r="T6" s="41">
        <f>H6+K6+N6+Q6</f>
        <v>2484.5</v>
      </c>
      <c r="U6" s="16">
        <f t="shared" si="10"/>
        <v>545.4</v>
      </c>
      <c r="V6" s="16">
        <f t="shared" ref="V6:V23" si="12">U6+T6</f>
        <v>3029.9</v>
      </c>
      <c r="W6" s="20"/>
      <c r="X6" s="71"/>
      <c r="Y6" s="71"/>
      <c r="Z6" s="71"/>
    </row>
    <row r="7" spans="2:26" x14ac:dyDescent="0.25">
      <c r="B7" s="3" t="s">
        <v>8</v>
      </c>
      <c r="C7" s="5">
        <v>145</v>
      </c>
      <c r="D7" s="5">
        <v>32</v>
      </c>
      <c r="E7" s="4">
        <f>D7+C7</f>
        <v>177</v>
      </c>
      <c r="F7" s="14">
        <f t="shared" si="11"/>
        <v>4.0108358299796891E-3</v>
      </c>
      <c r="H7" s="16">
        <v>0</v>
      </c>
      <c r="I7" s="16">
        <v>0</v>
      </c>
      <c r="J7" s="36">
        <f>I7+H7</f>
        <v>0</v>
      </c>
      <c r="K7" s="49">
        <v>0</v>
      </c>
      <c r="L7" s="16">
        <v>0</v>
      </c>
      <c r="M7" s="50">
        <f>L7+K7</f>
        <v>0</v>
      </c>
      <c r="N7" s="41">
        <v>65</v>
      </c>
      <c r="O7" s="16">
        <v>0</v>
      </c>
      <c r="P7" s="36">
        <f>O7+N7</f>
        <v>65</v>
      </c>
      <c r="Q7" s="49">
        <v>80</v>
      </c>
      <c r="R7" s="16">
        <v>32</v>
      </c>
      <c r="S7" s="50">
        <f>R7+Q7</f>
        <v>112</v>
      </c>
      <c r="T7" s="41">
        <f t="shared" si="9"/>
        <v>145</v>
      </c>
      <c r="U7" s="16">
        <f t="shared" si="10"/>
        <v>32</v>
      </c>
      <c r="V7" s="16">
        <f t="shared" si="12"/>
        <v>177</v>
      </c>
      <c r="W7" s="20"/>
      <c r="X7" s="71"/>
      <c r="Y7" s="71"/>
      <c r="Z7" s="71"/>
    </row>
    <row r="8" spans="2:26" x14ac:dyDescent="0.25">
      <c r="B8" s="2" t="s">
        <v>9</v>
      </c>
      <c r="C8" s="12">
        <f>+C9+C14+C16+C20</f>
        <v>23840.212265000002</v>
      </c>
      <c r="D8" s="12">
        <f t="shared" ref="D8:E8" si="13">+D9+D14+D16+D20</f>
        <v>17083.350214999999</v>
      </c>
      <c r="E8" s="12">
        <f t="shared" si="13"/>
        <v>40923.452479999993</v>
      </c>
      <c r="F8" s="22">
        <f t="shared" si="11"/>
        <v>0.92732909318223244</v>
      </c>
      <c r="H8" s="16">
        <f>+H9+H14+H16+H20</f>
        <v>2037.80265525</v>
      </c>
      <c r="I8" s="16">
        <f t="shared" ref="I8:J8" si="14">+I9+I14+I16+I20</f>
        <v>5408.2333700000008</v>
      </c>
      <c r="J8" s="16">
        <f t="shared" si="14"/>
        <v>7446.0360252500013</v>
      </c>
      <c r="K8" s="68">
        <f>+K9+K14+K16+K20</f>
        <v>6874.7379110000011</v>
      </c>
      <c r="L8" s="16">
        <f t="shared" ref="L8:M8" si="15">+L9+L14+L16+L20</f>
        <v>5160.9400519999999</v>
      </c>
      <c r="M8" s="69">
        <f t="shared" si="15"/>
        <v>12035.677963000002</v>
      </c>
      <c r="N8" s="68">
        <f>+N9+N14+N16+N20</f>
        <v>8031.0006872500016</v>
      </c>
      <c r="O8" s="16">
        <f t="shared" ref="O8" si="16">+O9+O14+O16+O20</f>
        <v>4363.2897429999994</v>
      </c>
      <c r="P8" s="69">
        <f>+P9+P14+P16+P20</f>
        <v>12394.290430250001</v>
      </c>
      <c r="Q8" s="68">
        <f>+Q9+Q14+Q16+Q20</f>
        <v>6896.8537215000006</v>
      </c>
      <c r="R8" s="16">
        <f t="shared" ref="R8" si="17">+R9+R14+R16+R20</f>
        <v>2150.7732000000001</v>
      </c>
      <c r="S8" s="69">
        <f t="shared" ref="S8" si="18">+S9+S14+S16+S20</f>
        <v>9047.6269214999993</v>
      </c>
      <c r="T8" s="41">
        <f t="shared" si="9"/>
        <v>23840.394975000003</v>
      </c>
      <c r="U8" s="16">
        <f t="shared" si="10"/>
        <v>17083.236365000001</v>
      </c>
      <c r="V8" s="16">
        <f>U8+T8-0.5</f>
        <v>40923.131340000007</v>
      </c>
      <c r="W8" s="20"/>
      <c r="X8" s="71"/>
      <c r="Y8" s="71"/>
      <c r="Z8" s="71"/>
    </row>
    <row r="9" spans="2:26" x14ac:dyDescent="0.25">
      <c r="B9" s="2" t="s">
        <v>10</v>
      </c>
      <c r="C9" s="13">
        <f>SUM(C10:C13)</f>
        <v>14000.212265</v>
      </c>
      <c r="D9" s="13">
        <f t="shared" ref="D9" si="19">SUM(D10:D13)</f>
        <v>16192.236314999998</v>
      </c>
      <c r="E9" s="13">
        <f>SUM(E10:E13)</f>
        <v>30192.448579999997</v>
      </c>
      <c r="F9" s="22">
        <f t="shared" si="11"/>
        <v>0.68416358508182695</v>
      </c>
      <c r="H9" s="17">
        <f>SUM(H10:H13)</f>
        <v>558.80265525000016</v>
      </c>
      <c r="I9" s="17">
        <f t="shared" ref="I9" si="20">SUM(I10:I13)</f>
        <v>4720.9333700000007</v>
      </c>
      <c r="J9" s="37">
        <f t="shared" ref="J9" si="21">SUM(J10:J13)</f>
        <v>5279.7360252500011</v>
      </c>
      <c r="K9" s="51">
        <f>SUM(K10:K13)</f>
        <v>2792.2379110000006</v>
      </c>
      <c r="L9" s="17">
        <f t="shared" ref="L9" si="22">SUM(L10:L13)</f>
        <v>4957.2400520000001</v>
      </c>
      <c r="M9" s="52">
        <f t="shared" ref="M9" si="23">SUM(M10:M13)</f>
        <v>7749.4779630000003</v>
      </c>
      <c r="N9" s="42">
        <f>SUM(N10:N13)</f>
        <v>6108.5006872500016</v>
      </c>
      <c r="O9" s="17">
        <f t="shared" ref="O9" si="24">SUM(O10:O13)</f>
        <v>4363.2897429999994</v>
      </c>
      <c r="P9" s="37">
        <f t="shared" ref="P9" si="25">SUM(P10:P13)</f>
        <v>10471.790430250001</v>
      </c>
      <c r="Q9" s="51">
        <f>SUM(Q10:Q13)</f>
        <v>4540.5537215000004</v>
      </c>
      <c r="R9" s="17">
        <f t="shared" ref="R9" si="26">SUM(R10:R13)</f>
        <v>2150.7732000000001</v>
      </c>
      <c r="S9" s="52">
        <f t="shared" ref="S9" si="27">SUM(S10:S13)</f>
        <v>6691.3269215</v>
      </c>
      <c r="T9" s="42">
        <f t="shared" si="9"/>
        <v>14000.094975000004</v>
      </c>
      <c r="U9" s="17">
        <f t="shared" si="10"/>
        <v>16192.236364999999</v>
      </c>
      <c r="V9" s="17">
        <f t="shared" si="12"/>
        <v>30192.331340000004</v>
      </c>
      <c r="W9" s="20"/>
      <c r="X9" s="71"/>
      <c r="Y9" s="71"/>
      <c r="Z9" s="71"/>
    </row>
    <row r="10" spans="2:26" x14ac:dyDescent="0.25">
      <c r="B10" s="3" t="s">
        <v>14</v>
      </c>
      <c r="C10" s="6">
        <v>0</v>
      </c>
      <c r="D10" s="8">
        <f>(8274891.34/2)/1000</f>
        <v>4137.4456700000001</v>
      </c>
      <c r="E10" s="4">
        <f>C10+D10</f>
        <v>4137.4456700000001</v>
      </c>
      <c r="F10" s="14">
        <f t="shared" si="11"/>
        <v>9.3754888914295606E-2</v>
      </c>
      <c r="H10" s="16">
        <v>0</v>
      </c>
      <c r="I10" s="16">
        <f>('[1]Completo_Ano_R$'!$E$21/1000)/2</f>
        <v>1043.21153125</v>
      </c>
      <c r="J10" s="36">
        <f>H10+I10</f>
        <v>1043.21153125</v>
      </c>
      <c r="K10" s="49">
        <v>0</v>
      </c>
      <c r="L10" s="16">
        <f>('[1]Completo_Ano_R$'!$F$21/1000)/2</f>
        <v>1642.6732682499999</v>
      </c>
      <c r="M10" s="50">
        <f>K10+L10</f>
        <v>1642.6732682499999</v>
      </c>
      <c r="N10" s="41">
        <v>0</v>
      </c>
      <c r="O10" s="16">
        <f>('[1]Completo_Ano_R$'!$G$21/1000)/2</f>
        <v>1110.1633454999999</v>
      </c>
      <c r="P10" s="36">
        <f>N10+O10</f>
        <v>1110.1633454999999</v>
      </c>
      <c r="Q10" s="49">
        <v>0</v>
      </c>
      <c r="R10" s="16">
        <f>('[1]Completo_Ano_R$'!$H$21/1000)/2</f>
        <v>341.39757500000002</v>
      </c>
      <c r="S10" s="50">
        <f>Q10+R10</f>
        <v>341.39757500000002</v>
      </c>
      <c r="T10" s="41">
        <f t="shared" si="9"/>
        <v>0</v>
      </c>
      <c r="U10" s="16">
        <f t="shared" si="10"/>
        <v>4137.4457199999997</v>
      </c>
      <c r="V10" s="16">
        <f t="shared" si="12"/>
        <v>4137.4457199999997</v>
      </c>
      <c r="W10" s="20"/>
      <c r="X10" s="71"/>
      <c r="Y10" s="71"/>
      <c r="Z10" s="71"/>
    </row>
    <row r="11" spans="2:26" x14ac:dyDescent="0.25">
      <c r="B11" s="3" t="s">
        <v>15</v>
      </c>
      <c r="C11" s="6">
        <v>0</v>
      </c>
      <c r="D11" s="8">
        <f>(15845581.29/2)/1000</f>
        <v>7922.7906449999991</v>
      </c>
      <c r="E11" s="4">
        <f t="shared" ref="E11:E13" si="28">C11+D11</f>
        <v>7922.7906449999991</v>
      </c>
      <c r="F11" s="14">
        <f t="shared" si="11"/>
        <v>0.17953114458979597</v>
      </c>
      <c r="H11" s="16">
        <v>0</v>
      </c>
      <c r="I11" s="16">
        <f>('[1]Completo_Ano_R$'!$E$35/1000)/2</f>
        <v>3677.7218387500002</v>
      </c>
      <c r="J11" s="36">
        <f t="shared" ref="J11:J13" si="29">H11+I11</f>
        <v>3677.7218387500002</v>
      </c>
      <c r="K11" s="49">
        <v>0</v>
      </c>
      <c r="L11" s="16">
        <f>('[1]Completo_Ano_R$'!$F$35/1000)/2</f>
        <v>2446.8467837499998</v>
      </c>
      <c r="M11" s="50">
        <f t="shared" ref="M11:M13" si="30">K11+L11</f>
        <v>2446.8467837499998</v>
      </c>
      <c r="N11" s="41">
        <v>0</v>
      </c>
      <c r="O11" s="16">
        <f>('[1]Completo_Ano_R$'!$G$35/1000)/2</f>
        <v>1682.9663974999999</v>
      </c>
      <c r="P11" s="36">
        <f t="shared" ref="P11:P13" si="31">N11+O11</f>
        <v>1682.9663974999999</v>
      </c>
      <c r="Q11" s="49">
        <v>0</v>
      </c>
      <c r="R11" s="16">
        <f>('[1]Completo_Ano_R$'!$H$35/1000)/2</f>
        <v>115.25562499999999</v>
      </c>
      <c r="S11" s="50">
        <f t="shared" ref="S11:S13" si="32">Q11+R11</f>
        <v>115.25562499999999</v>
      </c>
      <c r="T11" s="41">
        <f t="shared" si="9"/>
        <v>0</v>
      </c>
      <c r="U11" s="16">
        <f t="shared" si="10"/>
        <v>7922.7906449999991</v>
      </c>
      <c r="V11" s="16">
        <f t="shared" si="12"/>
        <v>7922.7906449999991</v>
      </c>
      <c r="W11" s="20"/>
      <c r="X11" s="71"/>
      <c r="Y11" s="71"/>
      <c r="Z11" s="71"/>
    </row>
    <row r="12" spans="2:26" x14ac:dyDescent="0.25">
      <c r="B12" s="3" t="s">
        <v>29</v>
      </c>
      <c r="C12" s="6">
        <f>11629212.265/1000</f>
        <v>11629.212265</v>
      </c>
      <c r="D12" s="9">
        <v>0</v>
      </c>
      <c r="E12" s="4">
        <f t="shared" si="28"/>
        <v>11629.212265</v>
      </c>
      <c r="F12" s="14">
        <f t="shared" si="11"/>
        <v>0.26351898998249296</v>
      </c>
      <c r="H12" s="16">
        <f>('[2]Crono_Ano_R$'!$E$16/1000)/2</f>
        <v>558.80265525000016</v>
      </c>
      <c r="I12" s="16">
        <v>0</v>
      </c>
      <c r="J12" s="36">
        <f t="shared" si="29"/>
        <v>558.80265525000016</v>
      </c>
      <c r="K12" s="49">
        <f>('[2]Crono_Ano_R$'!$F$16/1000)/2</f>
        <v>2294.3279110000008</v>
      </c>
      <c r="L12" s="16">
        <v>0</v>
      </c>
      <c r="M12" s="50">
        <f t="shared" si="30"/>
        <v>2294.3279110000008</v>
      </c>
      <c r="N12" s="41">
        <f>('[2]Crono_Ano_R$'!$G$16/1000)/2</f>
        <v>5207.5206872500012</v>
      </c>
      <c r="O12" s="16">
        <v>0</v>
      </c>
      <c r="P12" s="36">
        <f t="shared" si="31"/>
        <v>5207.5206872500012</v>
      </c>
      <c r="Q12" s="49">
        <f>(('[2]Crono_Ano_R$'!$H$16/1000)/2)+59</f>
        <v>3568.4437215000003</v>
      </c>
      <c r="R12" s="16">
        <v>0</v>
      </c>
      <c r="S12" s="50">
        <f t="shared" si="32"/>
        <v>3568.4437215000003</v>
      </c>
      <c r="T12" s="41">
        <f t="shared" si="9"/>
        <v>11629.094975000002</v>
      </c>
      <c r="U12" s="16">
        <f t="shared" si="10"/>
        <v>0</v>
      </c>
      <c r="V12" s="16">
        <f t="shared" si="12"/>
        <v>11629.094975000002</v>
      </c>
      <c r="W12" s="20"/>
      <c r="X12" s="71"/>
      <c r="Y12" s="71"/>
      <c r="Z12" s="71"/>
    </row>
    <row r="13" spans="2:26" x14ac:dyDescent="0.25">
      <c r="B13" s="3" t="s">
        <v>30</v>
      </c>
      <c r="C13" s="6">
        <v>2371</v>
      </c>
      <c r="D13" s="6">
        <v>4132</v>
      </c>
      <c r="E13" s="4">
        <f t="shared" si="28"/>
        <v>6503</v>
      </c>
      <c r="F13" s="14">
        <f t="shared" si="11"/>
        <v>0.14735856159524247</v>
      </c>
      <c r="H13" s="16">
        <f>'[2]Crono_Ano_R$'!$E$21/2</f>
        <v>0</v>
      </c>
      <c r="I13" s="16">
        <v>0</v>
      </c>
      <c r="J13" s="36">
        <f t="shared" si="29"/>
        <v>0</v>
      </c>
      <c r="K13" s="49">
        <f>+C13*0.21</f>
        <v>497.90999999999997</v>
      </c>
      <c r="L13" s="16">
        <f>+D13*0.21</f>
        <v>867.71999999999991</v>
      </c>
      <c r="M13" s="50">
        <f t="shared" si="30"/>
        <v>1365.6299999999999</v>
      </c>
      <c r="N13" s="41">
        <f>+C13*0.38</f>
        <v>900.98</v>
      </c>
      <c r="O13" s="16">
        <f>+D13*0.38</f>
        <v>1570.16</v>
      </c>
      <c r="P13" s="36">
        <f t="shared" si="31"/>
        <v>2471.1400000000003</v>
      </c>
      <c r="Q13" s="49">
        <f>+C13*0.41</f>
        <v>972.1099999999999</v>
      </c>
      <c r="R13" s="16">
        <f>+D13*0.41</f>
        <v>1694.12</v>
      </c>
      <c r="S13" s="50">
        <f t="shared" si="32"/>
        <v>2666.2299999999996</v>
      </c>
      <c r="T13" s="41">
        <f>H13+K13+N13+Q13-0.1</f>
        <v>2370.9</v>
      </c>
      <c r="U13" s="16">
        <f>I13+L13+O13+R13-0.4</f>
        <v>4131.6000000000004</v>
      </c>
      <c r="V13" s="16">
        <f>U13+T13</f>
        <v>6502.5</v>
      </c>
      <c r="W13" s="20"/>
      <c r="X13" s="71"/>
      <c r="Y13" s="71"/>
      <c r="Z13" s="71"/>
    </row>
    <row r="14" spans="2:26" x14ac:dyDescent="0.25">
      <c r="B14" s="2" t="s">
        <v>11</v>
      </c>
      <c r="C14" s="12">
        <f>C15</f>
        <v>5630</v>
      </c>
      <c r="D14" s="12">
        <f t="shared" ref="D14:E14" si="33">D15</f>
        <v>0</v>
      </c>
      <c r="E14" s="12">
        <f t="shared" si="33"/>
        <v>5630</v>
      </c>
      <c r="F14" s="22">
        <f t="shared" si="11"/>
        <v>0.127576303518563</v>
      </c>
      <c r="H14" s="17">
        <f>H15</f>
        <v>844.5</v>
      </c>
      <c r="I14" s="17">
        <f t="shared" ref="I14" si="34">I15</f>
        <v>0</v>
      </c>
      <c r="J14" s="37">
        <f t="shared" ref="J14" si="35">J15</f>
        <v>844.5</v>
      </c>
      <c r="K14" s="51">
        <f>K15</f>
        <v>3096.5000000000005</v>
      </c>
      <c r="L14" s="17">
        <f t="shared" ref="L14" si="36">L15</f>
        <v>0</v>
      </c>
      <c r="M14" s="52">
        <f t="shared" ref="M14" si="37">M15</f>
        <v>3096.5000000000005</v>
      </c>
      <c r="N14" s="42">
        <f>N15</f>
        <v>1689</v>
      </c>
      <c r="O14" s="17">
        <f t="shared" ref="O14" si="38">O15</f>
        <v>0</v>
      </c>
      <c r="P14" s="37">
        <f t="shared" ref="P14" si="39">P15</f>
        <v>1689</v>
      </c>
      <c r="Q14" s="51">
        <f>Q15</f>
        <v>0</v>
      </c>
      <c r="R14" s="17">
        <f t="shared" ref="R14" si="40">R15</f>
        <v>0</v>
      </c>
      <c r="S14" s="52">
        <f t="shared" ref="S14" si="41">S15</f>
        <v>0</v>
      </c>
      <c r="T14" s="42">
        <f t="shared" si="9"/>
        <v>5630</v>
      </c>
      <c r="U14" s="17">
        <f t="shared" si="10"/>
        <v>0</v>
      </c>
      <c r="V14" s="17">
        <f t="shared" si="12"/>
        <v>5630</v>
      </c>
      <c r="W14" s="20"/>
      <c r="X14" s="71"/>
      <c r="Y14" s="71"/>
      <c r="Z14" s="71"/>
    </row>
    <row r="15" spans="2:26" x14ac:dyDescent="0.25">
      <c r="B15" s="3" t="s">
        <v>28</v>
      </c>
      <c r="C15" s="4">
        <v>5630</v>
      </c>
      <c r="D15" s="4">
        <v>0</v>
      </c>
      <c r="E15" s="4">
        <f>C15+D15</f>
        <v>5630</v>
      </c>
      <c r="F15" s="14">
        <f t="shared" si="11"/>
        <v>0.127576303518563</v>
      </c>
      <c r="H15" s="16">
        <f>C15*0.15</f>
        <v>844.5</v>
      </c>
      <c r="I15" s="16">
        <v>0</v>
      </c>
      <c r="J15" s="36">
        <f>H15+I15</f>
        <v>844.5</v>
      </c>
      <c r="K15" s="49">
        <f>C15*0.55</f>
        <v>3096.5000000000005</v>
      </c>
      <c r="L15" s="16">
        <v>0</v>
      </c>
      <c r="M15" s="50">
        <f>K15+L15</f>
        <v>3096.5000000000005</v>
      </c>
      <c r="N15" s="41">
        <f>C15*0.3</f>
        <v>1689</v>
      </c>
      <c r="O15" s="16">
        <v>0</v>
      </c>
      <c r="P15" s="36">
        <f>N15+O15</f>
        <v>1689</v>
      </c>
      <c r="Q15" s="49">
        <v>0</v>
      </c>
      <c r="R15" s="16">
        <v>0</v>
      </c>
      <c r="S15" s="50">
        <f>Q15+R15</f>
        <v>0</v>
      </c>
      <c r="T15" s="41">
        <f t="shared" si="9"/>
        <v>5630</v>
      </c>
      <c r="U15" s="16">
        <f t="shared" si="10"/>
        <v>0</v>
      </c>
      <c r="V15" s="16">
        <f t="shared" si="12"/>
        <v>5630</v>
      </c>
      <c r="W15" s="20"/>
      <c r="X15" s="71"/>
      <c r="Y15" s="71"/>
      <c r="Z15" s="71"/>
    </row>
    <row r="16" spans="2:26" x14ac:dyDescent="0.25">
      <c r="B16" s="2" t="s">
        <v>12</v>
      </c>
      <c r="C16" s="12">
        <f>SUM(C17:C19)</f>
        <v>2335</v>
      </c>
      <c r="D16" s="12">
        <f t="shared" ref="D16" si="42">SUM(D17:D19)</f>
        <v>600.11390000000006</v>
      </c>
      <c r="E16" s="12">
        <f>SUM(E17:E19)-0.11</f>
        <v>2935.0038999999997</v>
      </c>
      <c r="F16" s="22">
        <f t="shared" si="11"/>
        <v>6.6507450865819912E-2</v>
      </c>
      <c r="H16" s="17">
        <f>SUM(H17:H19)</f>
        <v>0</v>
      </c>
      <c r="I16" s="17">
        <f t="shared" ref="I16" si="43">SUM(I17:I19)</f>
        <v>600</v>
      </c>
      <c r="J16" s="37">
        <f t="shared" ref="J16" si="44">SUM(J17:J19)</f>
        <v>600</v>
      </c>
      <c r="K16" s="51">
        <f>SUM(K17:K19)</f>
        <v>0</v>
      </c>
      <c r="L16" s="17">
        <f t="shared" ref="L16" si="45">SUM(L17:L19)</f>
        <v>0</v>
      </c>
      <c r="M16" s="52">
        <f t="shared" ref="M16" si="46">SUM(M17:M19)</f>
        <v>0</v>
      </c>
      <c r="N16" s="42">
        <f>SUM(N17:N19)</f>
        <v>233.5</v>
      </c>
      <c r="O16" s="17">
        <f t="shared" ref="O16" si="47">SUM(O17:O19)</f>
        <v>0</v>
      </c>
      <c r="P16" s="37">
        <f t="shared" ref="P16" si="48">SUM(P17:P19)</f>
        <v>233.5</v>
      </c>
      <c r="Q16" s="51">
        <f>SUM(Q17:Q19)</f>
        <v>2101.5</v>
      </c>
      <c r="R16" s="17">
        <f t="shared" ref="R16" si="49">SUM(R17:R19)</f>
        <v>0</v>
      </c>
      <c r="S16" s="52">
        <f t="shared" ref="S16" si="50">SUM(S17:S19)</f>
        <v>2101.5</v>
      </c>
      <c r="T16" s="42">
        <f t="shared" si="9"/>
        <v>2335</v>
      </c>
      <c r="U16" s="17">
        <f t="shared" si="10"/>
        <v>600</v>
      </c>
      <c r="V16" s="17">
        <f t="shared" si="12"/>
        <v>2935</v>
      </c>
      <c r="W16" s="20"/>
      <c r="X16" s="71"/>
      <c r="Y16" s="71"/>
      <c r="Z16" s="71"/>
    </row>
    <row r="17" spans="2:26" x14ac:dyDescent="0.25">
      <c r="B17" s="3" t="s">
        <v>16</v>
      </c>
      <c r="C17" s="6">
        <v>2335</v>
      </c>
      <c r="D17" s="6">
        <v>0</v>
      </c>
      <c r="E17" s="6">
        <f>C17+D17</f>
        <v>2335</v>
      </c>
      <c r="F17" s="14">
        <f t="shared" si="11"/>
        <v>5.2911308830523016E-2</v>
      </c>
      <c r="H17" s="16">
        <v>0</v>
      </c>
      <c r="I17" s="16">
        <v>0</v>
      </c>
      <c r="J17" s="36">
        <f>H17+I17</f>
        <v>0</v>
      </c>
      <c r="K17" s="49">
        <v>0</v>
      </c>
      <c r="L17" s="16">
        <v>0</v>
      </c>
      <c r="M17" s="50">
        <f>K17+L17</f>
        <v>0</v>
      </c>
      <c r="N17" s="41">
        <f>C17*0.1</f>
        <v>233.5</v>
      </c>
      <c r="O17" s="16">
        <v>0</v>
      </c>
      <c r="P17" s="36">
        <f>N17+O17</f>
        <v>233.5</v>
      </c>
      <c r="Q17" s="49">
        <f>C17*0.5+934</f>
        <v>2101.5</v>
      </c>
      <c r="R17" s="16">
        <v>0</v>
      </c>
      <c r="S17" s="50">
        <f>Q17+R17</f>
        <v>2101.5</v>
      </c>
      <c r="T17" s="41">
        <f t="shared" si="9"/>
        <v>2335</v>
      </c>
      <c r="U17" s="16">
        <f t="shared" si="10"/>
        <v>0</v>
      </c>
      <c r="V17" s="16">
        <f t="shared" si="12"/>
        <v>2335</v>
      </c>
      <c r="W17" s="20"/>
      <c r="X17" s="71"/>
      <c r="Y17" s="71"/>
      <c r="Z17" s="71"/>
    </row>
    <row r="18" spans="2:26" x14ac:dyDescent="0.25">
      <c r="B18" s="3" t="s">
        <v>40</v>
      </c>
      <c r="C18" s="9">
        <v>0</v>
      </c>
      <c r="D18" s="4">
        <f>335654/1000</f>
        <v>335.654</v>
      </c>
      <c r="E18" s="4">
        <f t="shared" ref="E18:E19" si="51">C18+D18</f>
        <v>335.654</v>
      </c>
      <c r="F18" s="14">
        <f t="shared" si="11"/>
        <v>7.6059496591864553E-3</v>
      </c>
      <c r="H18" s="16">
        <v>0</v>
      </c>
      <c r="I18" s="16">
        <v>336</v>
      </c>
      <c r="J18" s="36">
        <f t="shared" ref="J18:J19" si="52">H18+I18</f>
        <v>336</v>
      </c>
      <c r="K18" s="49">
        <v>0</v>
      </c>
      <c r="L18" s="16">
        <v>0</v>
      </c>
      <c r="M18" s="50">
        <f t="shared" ref="M18:M19" si="53">K18+L18</f>
        <v>0</v>
      </c>
      <c r="N18" s="41">
        <v>0</v>
      </c>
      <c r="O18" s="16">
        <v>0</v>
      </c>
      <c r="P18" s="36">
        <f t="shared" ref="P18:P19" si="54">N18+O18</f>
        <v>0</v>
      </c>
      <c r="Q18" s="49">
        <v>0</v>
      </c>
      <c r="R18" s="16">
        <v>0</v>
      </c>
      <c r="S18" s="50">
        <f t="shared" ref="S18:S19" si="55">Q18+R18</f>
        <v>0</v>
      </c>
      <c r="T18" s="41">
        <f t="shared" si="9"/>
        <v>0</v>
      </c>
      <c r="U18" s="16">
        <f t="shared" si="10"/>
        <v>336</v>
      </c>
      <c r="V18" s="16">
        <f t="shared" si="12"/>
        <v>336</v>
      </c>
      <c r="W18" s="20"/>
      <c r="X18" s="71"/>
      <c r="Y18" s="71"/>
      <c r="Z18" s="71"/>
    </row>
    <row r="19" spans="2:26" x14ac:dyDescent="0.25">
      <c r="B19" s="3" t="s">
        <v>17</v>
      </c>
      <c r="C19" s="9">
        <v>0</v>
      </c>
      <c r="D19" s="10">
        <f>264459.9/1000</f>
        <v>264.4599</v>
      </c>
      <c r="E19" s="4">
        <f t="shared" si="51"/>
        <v>264.4599</v>
      </c>
      <c r="F19" s="14">
        <f t="shared" si="11"/>
        <v>5.9926849859482803E-3</v>
      </c>
      <c r="H19" s="16">
        <v>0</v>
      </c>
      <c r="I19" s="16">
        <v>264</v>
      </c>
      <c r="J19" s="36">
        <f t="shared" si="52"/>
        <v>264</v>
      </c>
      <c r="K19" s="49">
        <v>0</v>
      </c>
      <c r="L19" s="16">
        <v>0</v>
      </c>
      <c r="M19" s="50">
        <f t="shared" si="53"/>
        <v>0</v>
      </c>
      <c r="N19" s="41">
        <v>0</v>
      </c>
      <c r="O19" s="16">
        <v>0</v>
      </c>
      <c r="P19" s="36">
        <f t="shared" si="54"/>
        <v>0</v>
      </c>
      <c r="Q19" s="49">
        <v>0</v>
      </c>
      <c r="R19" s="16">
        <v>0</v>
      </c>
      <c r="S19" s="50">
        <f t="shared" si="55"/>
        <v>0</v>
      </c>
      <c r="T19" s="41">
        <f t="shared" si="9"/>
        <v>0</v>
      </c>
      <c r="U19" s="16">
        <f t="shared" si="10"/>
        <v>264</v>
      </c>
      <c r="V19" s="16">
        <f t="shared" si="12"/>
        <v>264</v>
      </c>
      <c r="W19" s="20"/>
      <c r="X19" s="71"/>
      <c r="Y19" s="71"/>
      <c r="Z19" s="71"/>
    </row>
    <row r="20" spans="2:26" x14ac:dyDescent="0.25">
      <c r="B20" s="2" t="s">
        <v>13</v>
      </c>
      <c r="C20" s="12">
        <f>SUM(C21:C23)</f>
        <v>1875</v>
      </c>
      <c r="D20" s="12">
        <f t="shared" ref="D20:E20" si="56">SUM(D21:D23)</f>
        <v>291</v>
      </c>
      <c r="E20" s="12">
        <f t="shared" si="56"/>
        <v>2166</v>
      </c>
      <c r="F20" s="22">
        <f t="shared" si="11"/>
        <v>4.9081753716022636E-2</v>
      </c>
      <c r="H20" s="17">
        <f>SUM(H21:H23)</f>
        <v>634.5</v>
      </c>
      <c r="I20" s="17">
        <f t="shared" ref="I20" si="57">SUM(I21:I23)</f>
        <v>87.3</v>
      </c>
      <c r="J20" s="37">
        <f t="shared" ref="J20" si="58">SUM(J21:J23)</f>
        <v>721.8</v>
      </c>
      <c r="K20" s="51">
        <f>SUM(K21:K23)</f>
        <v>986</v>
      </c>
      <c r="L20" s="17">
        <f t="shared" ref="L20" si="59">SUM(L21:L23)</f>
        <v>203.7</v>
      </c>
      <c r="M20" s="52">
        <f t="shared" ref="M20" si="60">SUM(M21:M23)</f>
        <v>1189.6999999999998</v>
      </c>
      <c r="N20" s="42">
        <f>SUM(N21:N23)</f>
        <v>0</v>
      </c>
      <c r="O20" s="17">
        <f t="shared" ref="O20" si="61">SUM(O21:O23)</f>
        <v>0</v>
      </c>
      <c r="P20" s="37">
        <f t="shared" ref="P20" si="62">SUM(P21:P23)</f>
        <v>0</v>
      </c>
      <c r="Q20" s="51">
        <f>SUM(Q21:Q23)</f>
        <v>254.8</v>
      </c>
      <c r="R20" s="17">
        <f t="shared" ref="R20" si="63">SUM(R21:R23)</f>
        <v>0</v>
      </c>
      <c r="S20" s="52">
        <f t="shared" ref="S20" si="64">SUM(S21:S23)</f>
        <v>254.8</v>
      </c>
      <c r="T20" s="42">
        <f t="shared" si="9"/>
        <v>1875.3</v>
      </c>
      <c r="U20" s="17">
        <f t="shared" si="10"/>
        <v>291</v>
      </c>
      <c r="V20" s="17">
        <f t="shared" si="12"/>
        <v>2166.3000000000002</v>
      </c>
      <c r="W20" s="20"/>
      <c r="X20" s="71"/>
      <c r="Y20" s="71"/>
      <c r="Z20" s="71"/>
    </row>
    <row r="21" spans="2:26" ht="15.75" customHeight="1" x14ac:dyDescent="0.25">
      <c r="B21" s="3" t="s">
        <v>18</v>
      </c>
      <c r="C21" s="6">
        <f>665-106-50</f>
        <v>509</v>
      </c>
      <c r="D21" s="6">
        <v>0</v>
      </c>
      <c r="E21" s="6">
        <f>C21+D21</f>
        <v>509</v>
      </c>
      <c r="F21" s="14">
        <f t="shared" si="11"/>
        <v>1.1533985522370971E-2</v>
      </c>
      <c r="H21" s="16">
        <f>C21*0.3</f>
        <v>152.69999999999999</v>
      </c>
      <c r="I21" s="16">
        <v>0</v>
      </c>
      <c r="J21" s="36">
        <f>H21+I21</f>
        <v>152.69999999999999</v>
      </c>
      <c r="K21" s="49">
        <f>C21*0.2</f>
        <v>101.80000000000001</v>
      </c>
      <c r="L21" s="16">
        <v>0</v>
      </c>
      <c r="M21" s="50">
        <f>K21+L21</f>
        <v>101.80000000000001</v>
      </c>
      <c r="N21" s="41">
        <v>0</v>
      </c>
      <c r="O21" s="16">
        <v>0</v>
      </c>
      <c r="P21" s="36">
        <f>N21+O21</f>
        <v>0</v>
      </c>
      <c r="Q21" s="49">
        <f>C21*0.2+153</f>
        <v>254.8</v>
      </c>
      <c r="R21" s="16">
        <v>0</v>
      </c>
      <c r="S21" s="50">
        <f>Q21+R21</f>
        <v>254.8</v>
      </c>
      <c r="T21" s="41">
        <f t="shared" si="9"/>
        <v>509.3</v>
      </c>
      <c r="U21" s="16">
        <f t="shared" si="10"/>
        <v>0</v>
      </c>
      <c r="V21" s="16">
        <f t="shared" si="12"/>
        <v>509.3</v>
      </c>
      <c r="W21" s="20"/>
      <c r="X21" s="71"/>
      <c r="Y21" s="71"/>
      <c r="Z21" s="71"/>
    </row>
    <row r="22" spans="2:26" x14ac:dyDescent="0.25">
      <c r="B22" s="3" t="s">
        <v>19</v>
      </c>
      <c r="C22" s="6">
        <v>720</v>
      </c>
      <c r="D22" s="6">
        <v>0</v>
      </c>
      <c r="E22" s="6">
        <f>C22+D22</f>
        <v>720</v>
      </c>
      <c r="F22" s="14">
        <f t="shared" si="11"/>
        <v>1.631526439313772E-2</v>
      </c>
      <c r="H22" s="16">
        <f>C22*0.4</f>
        <v>288</v>
      </c>
      <c r="I22" s="16">
        <v>0</v>
      </c>
      <c r="J22" s="36">
        <f>H22+I22</f>
        <v>288</v>
      </c>
      <c r="K22" s="49">
        <f>C22*0.6</f>
        <v>432</v>
      </c>
      <c r="L22" s="16">
        <v>0</v>
      </c>
      <c r="M22" s="50">
        <f>K22+L22</f>
        <v>432</v>
      </c>
      <c r="N22" s="43">
        <v>0</v>
      </c>
      <c r="O22" s="18">
        <v>0</v>
      </c>
      <c r="P22" s="55">
        <f>N22+O22</f>
        <v>0</v>
      </c>
      <c r="Q22" s="56">
        <v>0</v>
      </c>
      <c r="R22" s="18">
        <v>0</v>
      </c>
      <c r="S22" s="57">
        <f>Q22+R22</f>
        <v>0</v>
      </c>
      <c r="T22" s="41">
        <f t="shared" si="9"/>
        <v>720</v>
      </c>
      <c r="U22" s="16">
        <f t="shared" si="10"/>
        <v>0</v>
      </c>
      <c r="V22" s="16">
        <f t="shared" si="12"/>
        <v>720</v>
      </c>
      <c r="W22" s="20"/>
      <c r="X22" s="71"/>
      <c r="Y22" s="71"/>
      <c r="Z22" s="71"/>
    </row>
    <row r="23" spans="2:26" x14ac:dyDescent="0.25">
      <c r="B23" s="3" t="s">
        <v>20</v>
      </c>
      <c r="C23" s="6">
        <f>490+106+50</f>
        <v>646</v>
      </c>
      <c r="D23" s="6">
        <v>291</v>
      </c>
      <c r="E23" s="6">
        <f>C23+D23</f>
        <v>937</v>
      </c>
      <c r="F23" s="14">
        <f t="shared" si="11"/>
        <v>2.1232503800513947E-2</v>
      </c>
      <c r="H23" s="16">
        <f>C23*0.3</f>
        <v>193.79999999999998</v>
      </c>
      <c r="I23" s="16">
        <f>D23*0.3</f>
        <v>87.3</v>
      </c>
      <c r="J23" s="36">
        <f>H23+I23</f>
        <v>281.09999999999997</v>
      </c>
      <c r="K23" s="49">
        <f>C23*0.7</f>
        <v>452.2</v>
      </c>
      <c r="L23" s="16">
        <f>D23*0.7</f>
        <v>203.7</v>
      </c>
      <c r="M23" s="50">
        <f>K23+L23</f>
        <v>655.9</v>
      </c>
      <c r="N23" s="41">
        <v>0</v>
      </c>
      <c r="O23" s="16">
        <v>0</v>
      </c>
      <c r="P23" s="36">
        <f>N23+O23</f>
        <v>0</v>
      </c>
      <c r="Q23" s="49">
        <v>0</v>
      </c>
      <c r="R23" s="16">
        <v>0</v>
      </c>
      <c r="S23" s="50">
        <f>Q23+R23</f>
        <v>0</v>
      </c>
      <c r="T23" s="41">
        <f t="shared" si="9"/>
        <v>646</v>
      </c>
      <c r="U23" s="16">
        <f t="shared" si="10"/>
        <v>291</v>
      </c>
      <c r="V23" s="16">
        <f t="shared" si="12"/>
        <v>937</v>
      </c>
      <c r="W23" s="20"/>
      <c r="X23" s="71"/>
      <c r="Y23" s="71"/>
      <c r="Z23" s="71"/>
    </row>
    <row r="24" spans="2:26" x14ac:dyDescent="0.25">
      <c r="B24" s="30" t="s">
        <v>4</v>
      </c>
      <c r="C24" s="31">
        <f>C20+C16+C14+C9+C5</f>
        <v>26470.212265000002</v>
      </c>
      <c r="D24" s="31">
        <f>D20+D16+D14+D9+D5</f>
        <v>17660.350214999999</v>
      </c>
      <c r="E24" s="31">
        <f>E20+E16+E14+E9+E5</f>
        <v>44130.452479999993</v>
      </c>
      <c r="F24" s="32">
        <f>+E24/E24</f>
        <v>1</v>
      </c>
      <c r="H24" s="33">
        <f>H20+H16+H14+H9+H5</f>
        <v>2162.05265525</v>
      </c>
      <c r="I24" s="33">
        <f>I20+I16+I14+I9+I5</f>
        <v>5435.4833700000008</v>
      </c>
      <c r="J24" s="38">
        <f t="shared" ref="J24" si="65">J20+J16+J14+J9+J5</f>
        <v>7597.5360252500013</v>
      </c>
      <c r="K24" s="53">
        <f>K20+K16+K14+K9+K5</f>
        <v>7371.7379110000011</v>
      </c>
      <c r="L24" s="33">
        <f>L20+L16+L14+L9+L5</f>
        <v>5269.9400519999999</v>
      </c>
      <c r="M24" s="54">
        <f t="shared" ref="M24" si="66">M20+M16+M14+M9+M5</f>
        <v>12641.677963000002</v>
      </c>
      <c r="N24" s="44">
        <f>N20+N16+N14+N9+N5</f>
        <v>8965.7506872500016</v>
      </c>
      <c r="O24" s="33">
        <f>O20+O16+O14+O9+O5</f>
        <v>4553.939742999999</v>
      </c>
      <c r="P24" s="38">
        <f t="shared" ref="P24" si="67">P20+P16+P14+P9+P5</f>
        <v>13519.690430250001</v>
      </c>
      <c r="Q24" s="53">
        <f>Q20+Q16+Q14+Q9+Q5</f>
        <v>7970.3537215000006</v>
      </c>
      <c r="R24" s="33">
        <f>R20+R16+R14+R9+R5</f>
        <v>2401.2732000000001</v>
      </c>
      <c r="S24" s="54">
        <f t="shared" ref="S24" si="68">S20+S16+S14+S9+S5</f>
        <v>10371.626921499999</v>
      </c>
      <c r="T24" s="44">
        <f t="shared" si="9"/>
        <v>26469.894975000003</v>
      </c>
      <c r="U24" s="33">
        <f>I24+L24+O24+R24-0.5</f>
        <v>17660.136364999998</v>
      </c>
      <c r="V24" s="33">
        <f>U24+T24</f>
        <v>44130.031340000001</v>
      </c>
      <c r="W24" s="20"/>
      <c r="X24" s="71"/>
      <c r="Y24" s="71"/>
      <c r="Z24" s="71"/>
    </row>
    <row r="25" spans="2:26" x14ac:dyDescent="0.25">
      <c r="B25" s="7" t="s">
        <v>5</v>
      </c>
      <c r="C25" s="58">
        <f>C24/E24</f>
        <v>0.59981737728604423</v>
      </c>
      <c r="D25" s="58">
        <f>D24/E24</f>
        <v>0.40018511532379381</v>
      </c>
      <c r="E25" s="59">
        <f>C25+D25</f>
        <v>1.0000024926098381</v>
      </c>
      <c r="F25" s="7"/>
      <c r="G25" s="24"/>
      <c r="H25" s="60">
        <f>H24/J24</f>
        <v>0.28457287310840446</v>
      </c>
      <c r="I25" s="60">
        <f>I24/J24</f>
        <v>0.71542712689159549</v>
      </c>
      <c r="J25" s="61">
        <f>H25+I25</f>
        <v>1</v>
      </c>
      <c r="K25" s="62">
        <f>K24/M24</f>
        <v>0.58312970260560337</v>
      </c>
      <c r="L25" s="60">
        <f>L24/M24</f>
        <v>0.41687029739439657</v>
      </c>
      <c r="M25" s="63">
        <f>K25+L25</f>
        <v>1</v>
      </c>
      <c r="N25" s="64">
        <f>N24/P24</f>
        <v>0.66316242472455866</v>
      </c>
      <c r="O25" s="60">
        <f>O24/P24</f>
        <v>0.33683757527544139</v>
      </c>
      <c r="P25" s="61">
        <f>N25+O25</f>
        <v>1</v>
      </c>
      <c r="Q25" s="62">
        <f>Q24/S24</f>
        <v>0.76847670879654872</v>
      </c>
      <c r="R25" s="60">
        <f>R24/S24</f>
        <v>0.23152329120345136</v>
      </c>
      <c r="S25" s="63">
        <f>Q25+R25</f>
        <v>1</v>
      </c>
      <c r="T25" s="64"/>
      <c r="U25" s="60"/>
      <c r="V25" s="60"/>
      <c r="W25" s="19"/>
    </row>
    <row r="27" spans="2:26" x14ac:dyDescent="0.25">
      <c r="D27" s="11"/>
      <c r="E27" s="1"/>
      <c r="F27" s="23"/>
      <c r="I27" s="67"/>
      <c r="K27" s="15" t="s">
        <v>41</v>
      </c>
      <c r="L27" s="19"/>
      <c r="O27" s="19"/>
      <c r="R27" s="19"/>
      <c r="T27" s="70"/>
      <c r="V27" s="67"/>
    </row>
    <row r="28" spans="2:26" x14ac:dyDescent="0.25">
      <c r="E28" s="1"/>
      <c r="I28" s="67"/>
    </row>
    <row r="29" spans="2:26" x14ac:dyDescent="0.25">
      <c r="E29" s="1"/>
    </row>
    <row r="30" spans="2:26" x14ac:dyDescent="0.25">
      <c r="E30" s="1"/>
      <c r="K30" s="67"/>
    </row>
    <row r="31" spans="2:26" x14ac:dyDescent="0.25">
      <c r="E31" s="1"/>
      <c r="I31" s="67"/>
      <c r="L31" s="67"/>
    </row>
    <row r="32" spans="2:26" x14ac:dyDescent="0.25">
      <c r="I32" s="67"/>
      <c r="L32" s="67"/>
      <c r="O32" s="67"/>
    </row>
  </sheetData>
  <mergeCells count="6">
    <mergeCell ref="T2:V3"/>
    <mergeCell ref="B2:F3"/>
    <mergeCell ref="H2:J3"/>
    <mergeCell ref="K2:M3"/>
    <mergeCell ref="N2:P3"/>
    <mergeCell ref="Q2:S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quadro de custos</vt:lpstr>
      <vt:lpstr>CRON CONSOLIDADO %</vt:lpstr>
      <vt:lpstr>CRONOGRAMA EXECUÇÃO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RSPEZIALI</dc:creator>
  <cp:lastModifiedBy>RODRIGO SPEZIALI</cp:lastModifiedBy>
  <dcterms:created xsi:type="dcterms:W3CDTF">2013-03-15T13:35:59Z</dcterms:created>
  <dcterms:modified xsi:type="dcterms:W3CDTF">2013-04-18T01:02:22Z</dcterms:modified>
</cp:coreProperties>
</file>