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195" yWindow="90" windowWidth="6105" windowHeight="6735"/>
  </bookViews>
  <sheets>
    <sheet name="RRF" sheetId="15" r:id="rId1"/>
    <sheet name="MER" sheetId="14" r:id="rId2"/>
    <sheet name="MMR" sheetId="16" r:id="rId3"/>
    <sheet name="Settings" sheetId="17" state="hidden" r:id="rId4"/>
  </sheets>
  <definedNames>
    <definedName name="_xlnm.Print_Area" localSheetId="1">MER!$B$2:$J$35</definedName>
    <definedName name="_xlnm.Print_Area" localSheetId="2">MMR!$B$2:$Q$91</definedName>
    <definedName name="_xlnm.Print_Area" localSheetId="0">RRF!$B$2:$G$207</definedName>
    <definedName name="Component1">RRF!$C$8</definedName>
    <definedName name="Component10">RRF!$C$98</definedName>
    <definedName name="Component11">RRF!$C$108</definedName>
    <definedName name="Component12">RRF!$C$118</definedName>
    <definedName name="Component13">RRF!$C$128</definedName>
    <definedName name="Component14">RRF!$C$138</definedName>
    <definedName name="Component15">RRF!$C$148</definedName>
    <definedName name="Component16">RRF!$C$158</definedName>
    <definedName name="Component17">RRF!$C$168</definedName>
    <definedName name="Component18">RRF!$C$178</definedName>
    <definedName name="Component19">RRF!$C$188</definedName>
    <definedName name="Component2">RRF!$C$18</definedName>
    <definedName name="Component20">RRF!$C$198</definedName>
    <definedName name="Component3">RRF!$C$28</definedName>
    <definedName name="Component4">RRF!$C$38</definedName>
    <definedName name="Component5">RRF!$C$48</definedName>
    <definedName name="Component6">RRF!$C$58</definedName>
    <definedName name="Component7">RRF!$C$68</definedName>
    <definedName name="Component8">RRF!$C$78</definedName>
    <definedName name="Component9">RRF!$C$88</definedName>
    <definedName name="Impact1">MER!$F$15</definedName>
    <definedName name="Impact10">MER!$F$24</definedName>
    <definedName name="Impact11">MER!$F$25</definedName>
    <definedName name="Impact12">MER!$F$26</definedName>
    <definedName name="Impact13">MER!$F$27</definedName>
    <definedName name="Impact14">MER!$F$28</definedName>
    <definedName name="Impact15">MER!$F$29</definedName>
    <definedName name="Impact16">MER!$F$30</definedName>
    <definedName name="Impact17">MER!$F$31</definedName>
    <definedName name="Impact18">MER!$F$32</definedName>
    <definedName name="Impact19">MER!$F$33</definedName>
    <definedName name="Impact2">MER!$F$16</definedName>
    <definedName name="Impact20">MER!$F$34</definedName>
    <definedName name="Impact3">MER!$F$17</definedName>
    <definedName name="Impact4">MER!$F$18</definedName>
    <definedName name="Impact5">MER!$F$19</definedName>
    <definedName name="Impact6">MER!$F$20</definedName>
    <definedName name="Impact7">MER!$F$21</definedName>
    <definedName name="Impact8">MER!$F$22</definedName>
    <definedName name="Impact9">MER!$F$23</definedName>
    <definedName name="Level1">MER!$J$15</definedName>
    <definedName name="Level10">MER!$J$24</definedName>
    <definedName name="Level11">MER!$J$25</definedName>
    <definedName name="Level12">MER!$J$26</definedName>
    <definedName name="Level13">MER!$J$27</definedName>
    <definedName name="Level14">MER!$J$28</definedName>
    <definedName name="Level15">MER!$J$29</definedName>
    <definedName name="Level16">MER!$J$30</definedName>
    <definedName name="Level17">MER!$J$31</definedName>
    <definedName name="Level18">MER!$J$32</definedName>
    <definedName name="Level19">MER!$J$33</definedName>
    <definedName name="Level2">MER!$J$16</definedName>
    <definedName name="Level20">MER!$J$34</definedName>
    <definedName name="Level3">MER!$J$17</definedName>
    <definedName name="Level4">MER!$J$18</definedName>
    <definedName name="Level5">MER!$J$19</definedName>
    <definedName name="Level6">MER!$J$20</definedName>
    <definedName name="Level7">MER!$J$21</definedName>
    <definedName name="Level8">MER!$J$22</definedName>
    <definedName name="Level9">MER!$J$23</definedName>
    <definedName name="OLE_LINK1" localSheetId="0">RRF!$B$4</definedName>
    <definedName name="Probability1">MER!$G$15</definedName>
    <definedName name="Probability10">MER!$G$24</definedName>
    <definedName name="Probability11">MER!$G$25</definedName>
    <definedName name="Probability12">MER!$G$26</definedName>
    <definedName name="Probability13">MER!$G$27</definedName>
    <definedName name="Probability14">MER!$G$28</definedName>
    <definedName name="Probability15">MER!$G$29</definedName>
    <definedName name="Probability16">MER!$G$30</definedName>
    <definedName name="Probability17">MER!$G$31</definedName>
    <definedName name="Probability18">MER!$G$32</definedName>
    <definedName name="Probability19">MER!$G$33</definedName>
    <definedName name="Probability2">MER!$G$16</definedName>
    <definedName name="Probability20">MER!$G$34</definedName>
    <definedName name="Probability3">MER!$G$17</definedName>
    <definedName name="Probability4">MER!$G$18</definedName>
    <definedName name="Probability5">MER!$G$19</definedName>
    <definedName name="Probability6">MER!$G$20</definedName>
    <definedName name="Probability7">MER!$G$21</definedName>
    <definedName name="Probability8">MER!$G$22</definedName>
    <definedName name="Probability9">MER!$G$23</definedName>
    <definedName name="Risk1">RRF!$E$8</definedName>
    <definedName name="Risk10">RRF!$E$98</definedName>
    <definedName name="Risk11">RRF!$E$108</definedName>
    <definedName name="Risk12">RRF!$E$118</definedName>
    <definedName name="Risk13">RRF!$E$128</definedName>
    <definedName name="Risk14">RRF!$E$138</definedName>
    <definedName name="Risk15">RRF!$E$148</definedName>
    <definedName name="Risk16">RRF!$E$158</definedName>
    <definedName name="Risk17">RRF!$E$168</definedName>
    <definedName name="Risk18">RRF!$E$178</definedName>
    <definedName name="Risk19">RRF!$E$188</definedName>
    <definedName name="Risk2">RRF!$E$18</definedName>
    <definedName name="Risk20">RRF!$E$198</definedName>
    <definedName name="Risk3">RRF!$E$28</definedName>
    <definedName name="Risk4">RRF!$E$38</definedName>
    <definedName name="Risk5">RRF!$E$48</definedName>
    <definedName name="Risk6">RRF!$E$58</definedName>
    <definedName name="Risk7">RRF!$E$68</definedName>
    <definedName name="Risk8">RRF!$E$78</definedName>
    <definedName name="Risk9">RRF!$E$88</definedName>
    <definedName name="_xlnm.Print_Titles" localSheetId="1">MER!$1:$14</definedName>
    <definedName name="_xlnm.Print_Titles" localSheetId="2">MMR!$9:$11</definedName>
    <definedName name="_xlnm.Print_Titles" localSheetId="0">RRF!$1:$7</definedName>
    <definedName name="Typeofrisk1">RRF!$D$8</definedName>
    <definedName name="Typeofrisk10">RRF!$D$98</definedName>
    <definedName name="Typeofrisk11">RRF!$D$108</definedName>
    <definedName name="Typeofrisk12">RRF!$D$118</definedName>
    <definedName name="Typeofrisk13">RRF!$D$128</definedName>
    <definedName name="Typeofrisk14">RRF!$D$138</definedName>
    <definedName name="Typeofrisk15">RRF!$D$148</definedName>
    <definedName name="Typeofrisk16">RRF!$D$158</definedName>
    <definedName name="Typeofrisk17">RRF!$D$168</definedName>
    <definedName name="Typeofrisk18">RRF!$D$178</definedName>
    <definedName name="Typeofrisk19">RRF!$D$188</definedName>
    <definedName name="Typeofrisk2">RRF!$D$18</definedName>
    <definedName name="Typeofrisk20">RRF!$D$198</definedName>
    <definedName name="Typeofrisk3">RRF!$D$28</definedName>
    <definedName name="Typeofrisk4">RRF!$D$38</definedName>
    <definedName name="Typeofrisk5">RRF!$D$48</definedName>
    <definedName name="Typeofrisk6">RRF!$D$58</definedName>
    <definedName name="Typeofrisk7">RRF!$D$68</definedName>
    <definedName name="Typeofrisk8">RRF!$D$78</definedName>
    <definedName name="Typeofrisk9">RRF!$D$88</definedName>
    <definedName name="Value1">MER!$I$15</definedName>
    <definedName name="Value10">MER!$I$24</definedName>
    <definedName name="Value11">MER!$I$25</definedName>
    <definedName name="Value12">MER!$I$26</definedName>
    <definedName name="Value13">MER!$I$27</definedName>
    <definedName name="Value14">MER!$I$28</definedName>
    <definedName name="Value15">MER!$I$29</definedName>
    <definedName name="Value16">MER!$I$30</definedName>
    <definedName name="Value17">MER!$I$31</definedName>
    <definedName name="Value18">MER!$I$32</definedName>
    <definedName name="Value19">MER!$I$33</definedName>
    <definedName name="Value2">MER!$I$16</definedName>
    <definedName name="Value20">MER!$I$34</definedName>
    <definedName name="Value3">MER!$I$17</definedName>
    <definedName name="Value4">MER!$I$18</definedName>
    <definedName name="Value5">MER!$I$19</definedName>
    <definedName name="Value6">MER!$I$20</definedName>
    <definedName name="Value7">MER!$I$21</definedName>
    <definedName name="Value8">MER!$I$22</definedName>
    <definedName name="Value9">MER!$I$23</definedName>
  </definedNames>
  <calcPr calcId="145621"/>
</workbook>
</file>

<file path=xl/calcChain.xml><?xml version="1.0" encoding="utf-8"?>
<calcChain xmlns="http://schemas.openxmlformats.org/spreadsheetml/2006/main">
  <c r="E88" i="16" l="1"/>
  <c r="D88" i="16"/>
  <c r="C88" i="16"/>
  <c r="E84" i="16"/>
  <c r="D84" i="16"/>
  <c r="C84" i="16"/>
  <c r="E80" i="16"/>
  <c r="D80" i="16"/>
  <c r="C80" i="16"/>
  <c r="E76" i="16"/>
  <c r="D76" i="16"/>
  <c r="C76" i="16"/>
  <c r="E72" i="16"/>
  <c r="D72" i="16"/>
  <c r="C72" i="16"/>
  <c r="E68" i="16"/>
  <c r="D68" i="16"/>
  <c r="C68" i="16"/>
  <c r="E64" i="16"/>
  <c r="D64" i="16"/>
  <c r="C64" i="16"/>
  <c r="E60" i="16"/>
  <c r="D60" i="16"/>
  <c r="C60" i="16"/>
  <c r="E56" i="16"/>
  <c r="D56" i="16"/>
  <c r="C56" i="16"/>
  <c r="E52" i="16"/>
  <c r="D52" i="16"/>
  <c r="C52" i="16"/>
  <c r="E48" i="16"/>
  <c r="D48" i="16"/>
  <c r="C48" i="16"/>
  <c r="E44" i="16"/>
  <c r="D44" i="16"/>
  <c r="C44" i="16"/>
  <c r="E40" i="16"/>
  <c r="D40" i="16"/>
  <c r="C40" i="16"/>
  <c r="E36" i="16"/>
  <c r="D36" i="16"/>
  <c r="C36" i="16"/>
  <c r="E32" i="16"/>
  <c r="D32" i="16"/>
  <c r="C32" i="16"/>
  <c r="E28" i="16"/>
  <c r="D28" i="16"/>
  <c r="C28" i="16"/>
  <c r="E24" i="16"/>
  <c r="D24" i="16"/>
  <c r="C24" i="16"/>
  <c r="E20" i="16"/>
  <c r="D20" i="16"/>
  <c r="C20" i="16"/>
  <c r="E16" i="16"/>
  <c r="D16" i="16"/>
  <c r="C16" i="16"/>
  <c r="E12" i="16"/>
  <c r="D12" i="16"/>
  <c r="C12" i="16"/>
  <c r="E34" i="14"/>
  <c r="D34" i="14"/>
  <c r="C34" i="14"/>
  <c r="E33" i="14"/>
  <c r="D33" i="14"/>
  <c r="C33" i="14"/>
  <c r="E32" i="14"/>
  <c r="D32" i="14"/>
  <c r="C32" i="14"/>
  <c r="E31" i="14"/>
  <c r="D31" i="14"/>
  <c r="C31" i="14"/>
  <c r="E30" i="14"/>
  <c r="D30" i="14"/>
  <c r="C30" i="14"/>
  <c r="E29" i="14"/>
  <c r="D29" i="14"/>
  <c r="C29" i="14"/>
  <c r="E28" i="14"/>
  <c r="D28" i="14"/>
  <c r="C28" i="14"/>
  <c r="E27" i="14"/>
  <c r="D27" i="14"/>
  <c r="C27" i="14"/>
  <c r="E26" i="14"/>
  <c r="D26" i="14"/>
  <c r="C26" i="14"/>
  <c r="E25" i="14"/>
  <c r="D25" i="14"/>
  <c r="C25" i="14"/>
  <c r="E24" i="14"/>
  <c r="D24" i="14"/>
  <c r="C24" i="14"/>
  <c r="D23" i="14"/>
  <c r="C23" i="14"/>
  <c r="E22" i="14"/>
  <c r="D22" i="14"/>
  <c r="C22" i="14"/>
  <c r="E21" i="14"/>
  <c r="D21" i="14"/>
  <c r="C21" i="14"/>
  <c r="E20" i="14"/>
  <c r="D20" i="14"/>
  <c r="C20" i="14"/>
  <c r="E19" i="14"/>
  <c r="D19" i="14"/>
  <c r="C19" i="14"/>
  <c r="E18" i="14"/>
  <c r="D18" i="14"/>
  <c r="C18" i="14"/>
  <c r="E17" i="14"/>
  <c r="D17" i="14"/>
  <c r="C17" i="14"/>
  <c r="E16" i="14"/>
  <c r="D16" i="14"/>
  <c r="C16" i="14"/>
  <c r="E15" i="14"/>
  <c r="D15" i="14"/>
  <c r="C15" i="14"/>
  <c r="H15" i="14" l="1"/>
  <c r="H16" i="14"/>
  <c r="H17" i="14"/>
  <c r="I16" i="14" l="1"/>
  <c r="I17" i="14"/>
  <c r="H18" i="14"/>
  <c r="H19" i="14"/>
  <c r="I19" i="14" s="1"/>
  <c r="J19" i="14" s="1"/>
  <c r="H20" i="14"/>
  <c r="H21" i="14"/>
  <c r="I21" i="14" s="1"/>
  <c r="H22" i="14"/>
  <c r="H23" i="14"/>
  <c r="I23" i="14" s="1"/>
  <c r="H24" i="14"/>
  <c r="H25" i="14"/>
  <c r="I25" i="14" s="1"/>
  <c r="H26" i="14"/>
  <c r="H27" i="14"/>
  <c r="I27" i="14" s="1"/>
  <c r="H28" i="14"/>
  <c r="H29" i="14"/>
  <c r="I29" i="14" s="1"/>
  <c r="H30" i="14"/>
  <c r="H31" i="14"/>
  <c r="I31" i="14" s="1"/>
  <c r="J31" i="14" s="1"/>
  <c r="H32" i="14"/>
  <c r="H33" i="14"/>
  <c r="I33" i="14" s="1"/>
  <c r="H34" i="14"/>
  <c r="I15" i="14"/>
  <c r="J17" i="14" l="1"/>
  <c r="G20" i="16" s="1"/>
  <c r="J33" i="14"/>
  <c r="G84" i="16" s="1"/>
  <c r="J29" i="14"/>
  <c r="G68" i="16" s="1"/>
  <c r="J27" i="14"/>
  <c r="G60" i="16" s="1"/>
  <c r="J23" i="14"/>
  <c r="G44" i="16" s="1"/>
  <c r="J21" i="14"/>
  <c r="G36" i="16" s="1"/>
  <c r="J25" i="14"/>
  <c r="G52" i="16" s="1"/>
  <c r="J16" i="14"/>
  <c r="G16" i="16" s="1"/>
  <c r="F12" i="16"/>
  <c r="J15" i="14"/>
  <c r="G12" i="16" s="1"/>
  <c r="F16" i="16"/>
  <c r="F20" i="16"/>
  <c r="G76" i="16"/>
  <c r="F76" i="16"/>
  <c r="F84" i="16"/>
  <c r="F68" i="16"/>
  <c r="F60" i="16"/>
  <c r="F52" i="16"/>
  <c r="F44" i="16"/>
  <c r="F36" i="16"/>
  <c r="G28" i="16"/>
  <c r="F28" i="16"/>
  <c r="I34" i="14"/>
  <c r="J34" i="14" s="1"/>
  <c r="I32" i="14"/>
  <c r="J32" i="14" s="1"/>
  <c r="I30" i="14"/>
  <c r="J30" i="14" s="1"/>
  <c r="I28" i="14"/>
  <c r="J28" i="14" s="1"/>
  <c r="I26" i="14"/>
  <c r="J26" i="14" s="1"/>
  <c r="I24" i="14"/>
  <c r="J24" i="14" s="1"/>
  <c r="I22" i="14"/>
  <c r="J22" i="14" s="1"/>
  <c r="I20" i="14"/>
  <c r="J20" i="14" s="1"/>
  <c r="I18" i="14"/>
  <c r="F24" i="16" l="1"/>
  <c r="J18" i="14"/>
  <c r="G24" i="16" s="1"/>
  <c r="G88" i="16"/>
  <c r="F88" i="16"/>
  <c r="G80" i="16"/>
  <c r="F80" i="16"/>
  <c r="G72" i="16"/>
  <c r="F72" i="16"/>
  <c r="G64" i="16"/>
  <c r="F64" i="16"/>
  <c r="G56" i="16"/>
  <c r="F56" i="16"/>
  <c r="G48" i="16"/>
  <c r="F48" i="16"/>
  <c r="G40" i="16"/>
  <c r="F40" i="16"/>
  <c r="G32" i="16"/>
  <c r="F32" i="16"/>
</calcChain>
</file>

<file path=xl/comments1.xml><?xml version="1.0" encoding="utf-8"?>
<comments xmlns="http://schemas.openxmlformats.org/spreadsheetml/2006/main">
  <authors>
    <author>Sanchez, Juan Carlos</author>
  </authors>
  <commentList>
    <comment ref="D7" authorId="0">
      <text>
        <r>
          <rPr>
            <b/>
            <sz val="8"/>
            <color indexed="81"/>
            <rFont val="Tahoma"/>
            <family val="2"/>
          </rPr>
          <t>Selecione um tipo de risco da lista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veronicao</author>
    <author>jorgeq</author>
  </authors>
  <commentList>
    <comment ref="I10" authorId="0">
      <text>
        <r>
          <rPr>
            <sz val="8"/>
            <color indexed="81"/>
            <rFont val="Tahoma"/>
            <family val="2"/>
          </rPr>
          <t xml:space="preserve">Descrever como será desenvolvida a atividade prevista como ação de mitigação. Exemplo: contratação de consultor  para revisão ex-post. 
</t>
        </r>
      </text>
    </comment>
    <comment ref="O10" authorId="1">
      <text>
        <r>
          <rPr>
            <sz val="10"/>
            <color indexed="81"/>
            <rFont val="Tahoma"/>
            <family val="2"/>
          </rPr>
          <t>Descrever qual o meio de verificação da realização da atividade de mitigação. O indicador de cumprimento deve permitir medir a efetividade da ação de mitigação. Exemplo, relatório de revisão ex-post do consultor, discutido e aceito pelo Cliente e pelo Banco.</t>
        </r>
      </text>
    </comment>
  </commentList>
</comments>
</file>

<file path=xl/sharedStrings.xml><?xml version="1.0" encoding="utf-8"?>
<sst xmlns="http://schemas.openxmlformats.org/spreadsheetml/2006/main" count="336" uniqueCount="299">
  <si>
    <t>Impacto</t>
  </si>
  <si>
    <t>Valor</t>
  </si>
  <si>
    <t>Alto</t>
  </si>
  <si>
    <t>Nivel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</si>
  <si>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</si>
  <si>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</si>
  <si>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</si>
  <si>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</si>
  <si>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</si>
  <si>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</si>
  <si>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</si>
  <si>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</si>
  <si>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</si>
  <si>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</si>
  <si>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</si>
  <si>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No</t>
  </si>
  <si>
    <t>No.</t>
  </si>
  <si>
    <t>4</t>
  </si>
  <si>
    <t>5</t>
  </si>
  <si>
    <t>6</t>
  </si>
  <si>
    <t>7</t>
  </si>
  <si>
    <t>8</t>
  </si>
  <si>
    <t>9</t>
  </si>
  <si>
    <t>SETTINGS</t>
  </si>
  <si>
    <t>LABELS</t>
  </si>
  <si>
    <t>RiskLabel</t>
  </si>
  <si>
    <t>Risk</t>
  </si>
  <si>
    <t>ComponentLabel</t>
  </si>
  <si>
    <t>Component</t>
  </si>
  <si>
    <t>Type of Risk Label</t>
  </si>
  <si>
    <t>Type of Risk</t>
  </si>
  <si>
    <t>Probability Factor Statement</t>
  </si>
  <si>
    <t>Probability Factor Statement Label</t>
  </si>
  <si>
    <t>Impact Statement</t>
  </si>
  <si>
    <t>Impact Statement Level</t>
  </si>
  <si>
    <t>Impact Value Label</t>
  </si>
  <si>
    <t xml:space="preserve">Impact Value </t>
  </si>
  <si>
    <t>Probability Value Label</t>
  </si>
  <si>
    <t>Probability Value</t>
  </si>
  <si>
    <t>Calification</t>
  </si>
  <si>
    <t>Calification Value Label</t>
  </si>
  <si>
    <t>Level</t>
  </si>
  <si>
    <t xml:space="preserve">Value </t>
  </si>
  <si>
    <t>Risk Value Label</t>
  </si>
  <si>
    <t>Risk Level Label</t>
  </si>
  <si>
    <t>Activity Label</t>
  </si>
  <si>
    <t>Monitoring Date Label</t>
  </si>
  <si>
    <t>Component1</t>
  </si>
  <si>
    <t>Component2</t>
  </si>
  <si>
    <t>Component3</t>
  </si>
  <si>
    <t>Component4</t>
  </si>
  <si>
    <t>Component5</t>
  </si>
  <si>
    <t>Component6</t>
  </si>
  <si>
    <t>Component7</t>
  </si>
  <si>
    <t>Component8</t>
  </si>
  <si>
    <t>Component9</t>
  </si>
  <si>
    <t>Component10</t>
  </si>
  <si>
    <t>Component11</t>
  </si>
  <si>
    <t>Component12</t>
  </si>
  <si>
    <t>Component13</t>
  </si>
  <si>
    <t>Component14</t>
  </si>
  <si>
    <t>Component15</t>
  </si>
  <si>
    <t>Component16</t>
  </si>
  <si>
    <t>Component17</t>
  </si>
  <si>
    <t>Component18</t>
  </si>
  <si>
    <t>Component19</t>
  </si>
  <si>
    <t>Component20</t>
  </si>
  <si>
    <t>Risk1</t>
  </si>
  <si>
    <t>Risk2</t>
  </si>
  <si>
    <t>Risk3</t>
  </si>
  <si>
    <t>Risk4</t>
  </si>
  <si>
    <t>Risk5</t>
  </si>
  <si>
    <t>Risk6</t>
  </si>
  <si>
    <t>Risk7</t>
  </si>
  <si>
    <t>Risk8</t>
  </si>
  <si>
    <t>Risk9</t>
  </si>
  <si>
    <t>Risk10</t>
  </si>
  <si>
    <t>Risk11</t>
  </si>
  <si>
    <t>Risk12</t>
  </si>
  <si>
    <t>Risk13</t>
  </si>
  <si>
    <t>Risk14</t>
  </si>
  <si>
    <t>Risk15</t>
  </si>
  <si>
    <t>Risk16</t>
  </si>
  <si>
    <t>Risk17</t>
  </si>
  <si>
    <t>Risk18</t>
  </si>
  <si>
    <t>Risk19</t>
  </si>
  <si>
    <t>Risk20</t>
  </si>
  <si>
    <t>Typeofrisk1</t>
  </si>
  <si>
    <t>Typeofrisk2</t>
  </si>
  <si>
    <t>Typeofrisk3</t>
  </si>
  <si>
    <t>Typeofrisk4</t>
  </si>
  <si>
    <t>Typeofrisk5</t>
  </si>
  <si>
    <t>Typeofrisk6</t>
  </si>
  <si>
    <t>Typeofrisk7</t>
  </si>
  <si>
    <t>Typeofrisk8</t>
  </si>
  <si>
    <t>Typeofrisk9</t>
  </si>
  <si>
    <t>Typeofrisk10</t>
  </si>
  <si>
    <t>Typeofrisk11</t>
  </si>
  <si>
    <t>Typeofrisk12</t>
  </si>
  <si>
    <t>Typeofrisk13</t>
  </si>
  <si>
    <t>Typeofrisk14</t>
  </si>
  <si>
    <t>Typeofrisk15</t>
  </si>
  <si>
    <t>Typeofrisk16</t>
  </si>
  <si>
    <t>Typeofrisk17</t>
  </si>
  <si>
    <t>Typeofrisk18</t>
  </si>
  <si>
    <t>Typeofrisk19</t>
  </si>
  <si>
    <t>Typeofrisk20</t>
  </si>
  <si>
    <t>Impact1</t>
  </si>
  <si>
    <t>Impact2</t>
  </si>
  <si>
    <t>Impact3</t>
  </si>
  <si>
    <t>Impact4</t>
  </si>
  <si>
    <t>Impact5</t>
  </si>
  <si>
    <t>Impact6</t>
  </si>
  <si>
    <t>Impact7</t>
  </si>
  <si>
    <t>Impact8</t>
  </si>
  <si>
    <t>Impact9</t>
  </si>
  <si>
    <t>Impact10</t>
  </si>
  <si>
    <t>Impact11</t>
  </si>
  <si>
    <t>Impact12</t>
  </si>
  <si>
    <t>Impact13</t>
  </si>
  <si>
    <t>Impact14</t>
  </si>
  <si>
    <t>Impact15</t>
  </si>
  <si>
    <t>Impact16</t>
  </si>
  <si>
    <t>Impact17</t>
  </si>
  <si>
    <t>Impact18</t>
  </si>
  <si>
    <t>Impact19</t>
  </si>
  <si>
    <t>Impact20</t>
  </si>
  <si>
    <t>Probability1</t>
  </si>
  <si>
    <t>Probability2</t>
  </si>
  <si>
    <t>Probability3</t>
  </si>
  <si>
    <t>Probability4</t>
  </si>
  <si>
    <t>Probability5</t>
  </si>
  <si>
    <t>Probability6</t>
  </si>
  <si>
    <t>Probability7</t>
  </si>
  <si>
    <t>Probability8</t>
  </si>
  <si>
    <t>Probability9</t>
  </si>
  <si>
    <t>Probability10</t>
  </si>
  <si>
    <t>Probability11</t>
  </si>
  <si>
    <t>Probability12</t>
  </si>
  <si>
    <t>Probability13</t>
  </si>
  <si>
    <t>Probability14</t>
  </si>
  <si>
    <t>Probability15</t>
  </si>
  <si>
    <t>Probability16</t>
  </si>
  <si>
    <t>Probability17</t>
  </si>
  <si>
    <t>Probability18</t>
  </si>
  <si>
    <t>Probability19</t>
  </si>
  <si>
    <t>Probability20</t>
  </si>
  <si>
    <t>Value1</t>
  </si>
  <si>
    <t>Value2</t>
  </si>
  <si>
    <t>Value3</t>
  </si>
  <si>
    <t>Value4</t>
  </si>
  <si>
    <t>Value5</t>
  </si>
  <si>
    <t>Value6</t>
  </si>
  <si>
    <t>Value7</t>
  </si>
  <si>
    <t>Value8</t>
  </si>
  <si>
    <t>Value9</t>
  </si>
  <si>
    <t>Value10</t>
  </si>
  <si>
    <t>Value11</t>
  </si>
  <si>
    <t>Value12</t>
  </si>
  <si>
    <t>Value13</t>
  </si>
  <si>
    <t>Value14</t>
  </si>
  <si>
    <t>Value15</t>
  </si>
  <si>
    <t>Value16</t>
  </si>
  <si>
    <t>Value17</t>
  </si>
  <si>
    <t>Value18</t>
  </si>
  <si>
    <t>Value19</t>
  </si>
  <si>
    <t>Value20</t>
  </si>
  <si>
    <t>Level1</t>
  </si>
  <si>
    <t>Level2</t>
  </si>
  <si>
    <t>Level3</t>
  </si>
  <si>
    <t>Level4</t>
  </si>
  <si>
    <t>Level5</t>
  </si>
  <si>
    <t>Level6</t>
  </si>
  <si>
    <t>Level7</t>
  </si>
  <si>
    <t>Level8</t>
  </si>
  <si>
    <t>Level9</t>
  </si>
  <si>
    <t>Level10</t>
  </si>
  <si>
    <t>Level11</t>
  </si>
  <si>
    <t>Level12</t>
  </si>
  <si>
    <t>Level13</t>
  </si>
  <si>
    <t>Level14</t>
  </si>
  <si>
    <t>Level15</t>
  </si>
  <si>
    <t>Level16</t>
  </si>
  <si>
    <t>Level17</t>
  </si>
  <si>
    <t>Level18</t>
  </si>
  <si>
    <t>Level19</t>
  </si>
  <si>
    <t>Level20</t>
  </si>
  <si>
    <t>BID</t>
  </si>
  <si>
    <t>Activity</t>
  </si>
  <si>
    <t>How is the activity to be done Label</t>
  </si>
  <si>
    <t>How is the activity to be done</t>
  </si>
  <si>
    <t>Budget Label</t>
  </si>
  <si>
    <t>Budget</t>
  </si>
  <si>
    <t>Beginning Date Label</t>
  </si>
  <si>
    <t>Ending Date Label</t>
  </si>
  <si>
    <t>Beginning Date (DD. MM.YY)</t>
  </si>
  <si>
    <t>Ending Date (DD.MM.YY)</t>
  </si>
  <si>
    <t>Responsible Label</t>
  </si>
  <si>
    <t>Responsible</t>
  </si>
  <si>
    <t>Responsible Name Label</t>
  </si>
  <si>
    <t>Name</t>
  </si>
  <si>
    <t>Responsabible Institution</t>
  </si>
  <si>
    <t>Institution</t>
  </si>
  <si>
    <t>Monitoring Date</t>
  </si>
  <si>
    <t>Executing Agency Monitoring Date</t>
  </si>
  <si>
    <t>Executing Agency</t>
  </si>
  <si>
    <t xml:space="preserve">IDB Monitoring Date </t>
  </si>
  <si>
    <t>IDB</t>
  </si>
  <si>
    <t xml:space="preserve"> </t>
  </si>
  <si>
    <t>REGISTRO DO RISCO E FATORES DE PROBABILIDADE</t>
  </si>
  <si>
    <t>Componente/Produto</t>
  </si>
  <si>
    <t>Tipo de Risco</t>
  </si>
  <si>
    <t>Risco</t>
  </si>
  <si>
    <t>Fator de probabilidade</t>
  </si>
  <si>
    <t xml:space="preserve">                        GESTÃO DE RISCO DE PROJETOS </t>
  </si>
  <si>
    <r>
      <rPr>
        <b/>
        <sz val="10"/>
        <color theme="0"/>
        <rFont val="Arial"/>
        <family val="2"/>
      </rPr>
      <t>Qualificação</t>
    </r>
    <r>
      <rPr>
        <b/>
        <sz val="8"/>
        <color theme="0"/>
        <rFont val="Arial"/>
        <family val="2"/>
      </rPr>
      <t xml:space="preserve">   </t>
    </r>
    <r>
      <rPr>
        <b/>
        <sz val="6"/>
        <color theme="0"/>
        <rFont val="Arial"/>
        <family val="2"/>
      </rPr>
      <t>(Probabilidade x Impacto)</t>
    </r>
  </si>
  <si>
    <t>Classificação do Risco</t>
  </si>
  <si>
    <t>Médio</t>
  </si>
  <si>
    <t>Baixo</t>
  </si>
  <si>
    <t xml:space="preserve">             MATRIZ DE AVALIAÇÃO DE RISCOS</t>
  </si>
  <si>
    <t>Probabilidade</t>
  </si>
  <si>
    <r>
      <rPr>
        <b/>
        <sz val="10"/>
        <color theme="0"/>
        <rFont val="Arial"/>
        <family val="2"/>
      </rPr>
      <t xml:space="preserve">Qualificação  </t>
    </r>
    <r>
      <rPr>
        <b/>
        <sz val="8"/>
        <color theme="0"/>
        <rFont val="Arial"/>
        <family val="2"/>
      </rPr>
      <t xml:space="preserve"> </t>
    </r>
    <r>
      <rPr>
        <b/>
        <sz val="6"/>
        <color theme="0"/>
        <rFont val="Arial"/>
        <family val="2"/>
      </rPr>
      <t>(Probabilidade x Impacto)</t>
    </r>
  </si>
  <si>
    <t>Componente / Produto</t>
  </si>
  <si>
    <t xml:space="preserve">GESTÃO DE RISCOS DE PROJETOS </t>
  </si>
  <si>
    <t>MATRIZ DE MITIGAÇÃO DE RISCOS</t>
  </si>
  <si>
    <t xml:space="preserve">Atividade </t>
  </si>
  <si>
    <t>Como a atividade será realizada?</t>
  </si>
  <si>
    <r>
      <t xml:space="preserve">Data Inicio </t>
    </r>
    <r>
      <rPr>
        <b/>
        <sz val="8"/>
        <rFont val="Arial"/>
        <family val="2"/>
      </rPr>
      <t>(DD.MM.AA)</t>
    </r>
  </si>
  <si>
    <t>Responsável</t>
  </si>
  <si>
    <t>Nome</t>
  </si>
  <si>
    <r>
      <t xml:space="preserve">Data Término </t>
    </r>
    <r>
      <rPr>
        <b/>
        <sz val="8"/>
        <rFont val="Arial"/>
        <family val="2"/>
      </rPr>
      <t>(DD.MM.AA)</t>
    </r>
  </si>
  <si>
    <t>Instituição</t>
  </si>
  <si>
    <t>Indicador de Cumprimento</t>
  </si>
  <si>
    <r>
      <t>Data Monitoramento</t>
    </r>
    <r>
      <rPr>
        <b/>
        <sz val="8"/>
        <rFont val="Arial"/>
        <family val="2"/>
      </rPr>
      <t xml:space="preserve"> (DD.MM.AA)</t>
    </r>
  </si>
  <si>
    <t>Órgão Executor</t>
  </si>
  <si>
    <t>Desenvolvimento</t>
  </si>
  <si>
    <t>BANCO INTERAMERICANO DE DESENVOLVIMENTO</t>
  </si>
  <si>
    <t xml:space="preserve">                     BANCO INTERAMERICANO DE DESENVOLVIMENTO</t>
  </si>
  <si>
    <t>Governabilidade</t>
  </si>
  <si>
    <t>Macroeconômicos</t>
  </si>
  <si>
    <t>Ambientais e Sociais</t>
  </si>
  <si>
    <t>Sustentabilidade</t>
  </si>
  <si>
    <t>Reputação</t>
  </si>
  <si>
    <t>Monitoramento e Prestação de Contas</t>
  </si>
  <si>
    <t>Fiduciários</t>
  </si>
  <si>
    <t>Orçamento (R$)</t>
  </si>
  <si>
    <t>Programa de Apoio à Modernização Administrativa e Fiscal dos Municípios Brasileiros (PNAFM III BR-L1377)</t>
  </si>
  <si>
    <r>
      <t xml:space="preserve">GESTÃO DE RISCO DE PROJETOS </t>
    </r>
    <r>
      <rPr>
        <b/>
        <sz val="12"/>
        <color rgb="FFFF0000"/>
        <rFont val="Arial"/>
        <family val="2"/>
      </rPr>
      <t>(22/Jul/2014)</t>
    </r>
  </si>
  <si>
    <t>Evento recorrente que acompanha o ciclo político</t>
  </si>
  <si>
    <t>PROJETO COMO UM TODO</t>
  </si>
  <si>
    <t>Priorização do projeto - patrocinador</t>
  </si>
  <si>
    <t>Plano estratégico municipal</t>
  </si>
  <si>
    <t>Gestores qualificados</t>
  </si>
  <si>
    <t>Carreiras municipais</t>
  </si>
  <si>
    <t>Atraso na execução do projeto (não alcance dos resultados)</t>
  </si>
  <si>
    <t>Custos financeiros - Custo oportunidade</t>
  </si>
  <si>
    <t>Descontinuidade administrativa e mudança nas equipes de projeto</t>
  </si>
  <si>
    <t>PROGRAMA E PROJETO COMO UM TODO</t>
  </si>
  <si>
    <t>Atraso na execução do programa/projeto</t>
  </si>
  <si>
    <t>Clara vinculação da UCP/UEM na estrutura do governo federal/municipal</t>
  </si>
  <si>
    <t>Fortalecimento da UCP/UEM</t>
  </si>
  <si>
    <t>Decreto municipal com criação da UEM</t>
  </si>
  <si>
    <t>Lei municipal que autoriza a operação de crédito inclui o objetivo do Projeto</t>
  </si>
  <si>
    <t>Uso do artigo 24-25 (contratação direta). Contratações diretas dos municípios serão pré-analisadas pela UCP</t>
  </si>
  <si>
    <t>Fixação de limite para contratação direta</t>
  </si>
  <si>
    <t>Uso da contratação direta pra casos excepcionais</t>
  </si>
  <si>
    <t>Contratação de escolas de governo</t>
  </si>
  <si>
    <t>Acordo BID-PGFN para todos os órgãos federais</t>
  </si>
  <si>
    <t>PROGRAMA / PROJETO COMO UM TODO: Uso da legislação nacional. Excepcionalidade será ampliada para as aquisições e contratações da UCP</t>
  </si>
  <si>
    <t>Burocracia na consulta prévia para processos de aquisição / contratação</t>
  </si>
  <si>
    <t xml:space="preserve">Atraso na execução do projeto </t>
  </si>
  <si>
    <t>Planejamento financeiro para solicitaçào de adiantamento</t>
  </si>
  <si>
    <t>Prazo de 180 dias para prestação de contas</t>
  </si>
  <si>
    <t xml:space="preserve">PROGRAMA / PROJETO COMO UM TODO: Prestação de contas. Não existe mais Fundo Rotativo. </t>
  </si>
  <si>
    <t>Acesso da CGU aos dados de prestação de contas</t>
  </si>
  <si>
    <t xml:space="preserve">Atrasos e glosas </t>
  </si>
  <si>
    <t>Coordenação CAIXA - UCP - STN</t>
  </si>
  <si>
    <t>Inconsistências nas prestações de contas</t>
  </si>
  <si>
    <t xml:space="preserve">Sistema de gestão financeira do projeto </t>
  </si>
  <si>
    <t>Aperfeiçoamento do sistema financeiro, com prestação de contas automatizada</t>
  </si>
  <si>
    <t>BID tem acesso ao repasse entre MF-CAIXA</t>
  </si>
  <si>
    <t>PROGRAMA / PROJETOS COMO UM TODO</t>
  </si>
  <si>
    <t>Contingenciamento de recursos</t>
  </si>
  <si>
    <t>Atrasos nos pagamentos dos contratos municipais</t>
  </si>
  <si>
    <t>Disponibilidade de recursos financeiros</t>
  </si>
  <si>
    <t>Plano de alocação dos recursos para transferência para a CAIXA</t>
  </si>
  <si>
    <t>Ato do Prefeito para designação da equipe do projeto</t>
  </si>
  <si>
    <t>auditoria em tempo oportuno</t>
  </si>
  <si>
    <t>Falta de patrocínio político do gestor estratégico</t>
  </si>
  <si>
    <t>Capacitação contínua e participação na Rede COGEP</t>
  </si>
  <si>
    <t>Definido em cada projeto</t>
  </si>
  <si>
    <t>Coordenador Geral UEM</t>
  </si>
  <si>
    <t>Coordenador Geral COOPE</t>
  </si>
  <si>
    <t>Membros da UEM são membros da COGEP</t>
  </si>
  <si>
    <t>Clara vinculação da UEM na estrutura do governo municipal</t>
  </si>
  <si>
    <t>Previsto no MIP e no ROP/MOP</t>
  </si>
  <si>
    <t>Previsto no ROP/MOP</t>
  </si>
  <si>
    <t>Acordos e Requisitos Fiduciários</t>
  </si>
  <si>
    <t>Coordenador Geral COOPE e BID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</si>
</sst>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 Narrow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sz val="6"/>
      <color theme="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sz val="10"/>
      <color indexed="81"/>
      <name val="Tahoma"/>
      <family val="2"/>
    </font>
    <font>
      <sz val="10"/>
      <name val="Arial"/>
      <family val="2"/>
    </font>
    <font>
      <b/>
      <sz val="12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1" fillId="0" borderId="0" applyFont="0" applyFill="0" applyBorder="0" applyAlignment="0" applyProtection="0"/>
  </cellStyleXfs>
  <cellXfs count="225">
    <xf numFmtId="0" fontId="0" fillId="0" borderId="0" xfId="0"/>
    <xf numFmtId="0" fontId="0" fillId="2" borderId="0" xfId="0" applyFill="1" applyProtection="1"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justify" vertical="center"/>
      <protection locked="0"/>
    </xf>
    <xf numFmtId="0" fontId="4" fillId="2" borderId="6" xfId="0" applyFont="1" applyFill="1" applyBorder="1" applyAlignment="1" applyProtection="1">
      <alignment horizontal="justify" vertical="center" wrapText="1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justify" vertical="top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4" fillId="2" borderId="6" xfId="0" applyNumberFormat="1" applyFont="1" applyFill="1" applyBorder="1" applyAlignment="1" applyProtection="1">
      <alignment horizontal="left" vertical="top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6" borderId="0" xfId="0" applyFill="1"/>
    <xf numFmtId="0" fontId="0" fillId="0" borderId="14" xfId="0" applyBorder="1" applyAlignment="1" applyProtection="1">
      <alignment vertical="distributed"/>
      <protection locked="0"/>
    </xf>
    <xf numFmtId="0" fontId="2" fillId="6" borderId="0" xfId="0" applyFont="1" applyFill="1" applyBorder="1" applyAlignment="1" applyProtection="1">
      <alignment horizontal="left"/>
      <protection locked="0"/>
    </xf>
    <xf numFmtId="0" fontId="2" fillId="6" borderId="0" xfId="0" applyFont="1" applyFill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4" fillId="2" borderId="22" xfId="0" applyNumberFormat="1" applyFont="1" applyFill="1" applyBorder="1" applyAlignment="1" applyProtection="1">
      <alignment horizontal="left" vertical="top"/>
      <protection locked="0"/>
    </xf>
    <xf numFmtId="0" fontId="4" fillId="2" borderId="24" xfId="0" applyNumberFormat="1" applyFont="1" applyFill="1" applyBorder="1" applyAlignment="1" applyProtection="1">
      <alignment horizontal="left" vertical="top"/>
      <protection locked="0"/>
    </xf>
    <xf numFmtId="0" fontId="4" fillId="2" borderId="14" xfId="0" applyNumberFormat="1" applyFont="1" applyFill="1" applyBorder="1" applyAlignment="1" applyProtection="1">
      <alignment horizontal="left" vertical="top"/>
      <protection locked="0"/>
    </xf>
    <xf numFmtId="0" fontId="4" fillId="0" borderId="14" xfId="0" applyFont="1" applyBorder="1" applyAlignment="1" applyProtection="1">
      <alignment horizontal="left" wrapText="1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justify" vertical="center"/>
      <protection locked="0"/>
    </xf>
    <xf numFmtId="0" fontId="0" fillId="2" borderId="33" xfId="0" applyFill="1" applyBorder="1" applyAlignment="1" applyProtection="1">
      <alignment horizontal="justify" vertical="top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distributed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9" fillId="6" borderId="0" xfId="0" applyFont="1" applyFill="1"/>
    <xf numFmtId="0" fontId="9" fillId="6" borderId="0" xfId="0" applyFont="1" applyFill="1" applyAlignment="1">
      <alignment horizontal="justify"/>
    </xf>
    <xf numFmtId="0" fontId="2" fillId="6" borderId="0" xfId="0" applyFont="1" applyFill="1"/>
    <xf numFmtId="0" fontId="0" fillId="7" borderId="0" xfId="0" applyFill="1"/>
    <xf numFmtId="0" fontId="4" fillId="6" borderId="6" xfId="0" applyFont="1" applyFill="1" applyBorder="1"/>
    <xf numFmtId="0" fontId="4" fillId="7" borderId="0" xfId="0" applyFont="1" applyFill="1"/>
    <xf numFmtId="0" fontId="0" fillId="6" borderId="6" xfId="0" applyFill="1" applyBorder="1"/>
    <xf numFmtId="0" fontId="11" fillId="6" borderId="0" xfId="0" applyFont="1" applyFill="1"/>
    <xf numFmtId="0" fontId="10" fillId="6" borderId="0" xfId="0" applyFont="1" applyFill="1"/>
    <xf numFmtId="0" fontId="2" fillId="7" borderId="0" xfId="0" applyFont="1" applyFill="1"/>
    <xf numFmtId="0" fontId="0" fillId="8" borderId="0" xfId="0" applyFill="1" applyBorder="1"/>
    <xf numFmtId="0" fontId="0" fillId="8" borderId="0" xfId="0" applyFill="1"/>
    <xf numFmtId="0" fontId="9" fillId="8" borderId="0" xfId="0" applyFont="1" applyFill="1" applyAlignment="1">
      <alignment horizontal="left"/>
    </xf>
    <xf numFmtId="0" fontId="0" fillId="8" borderId="0" xfId="0" applyFill="1" applyAlignment="1">
      <alignment horizontal="center"/>
    </xf>
    <xf numFmtId="0" fontId="0" fillId="8" borderId="0" xfId="0" applyFill="1" applyAlignment="1">
      <alignment horizontal="left"/>
    </xf>
    <xf numFmtId="0" fontId="8" fillId="8" borderId="0" xfId="0" applyFont="1" applyFill="1" applyAlignment="1">
      <alignment horizontal="left"/>
    </xf>
    <xf numFmtId="0" fontId="4" fillId="0" borderId="3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4" fillId="0" borderId="5" xfId="0" applyFont="1" applyFill="1" applyBorder="1" applyAlignment="1" applyProtection="1">
      <alignment horizontal="left" vertical="top" wrapText="1"/>
      <protection locked="0"/>
    </xf>
    <xf numFmtId="0" fontId="4" fillId="0" borderId="2" xfId="0" applyFont="1" applyFill="1" applyBorder="1" applyAlignment="1" applyProtection="1">
      <alignment horizontal="left" vertical="top" wrapText="1"/>
      <protection locked="0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4" fillId="8" borderId="0" xfId="0" applyFont="1" applyFill="1"/>
    <xf numFmtId="0" fontId="12" fillId="9" borderId="6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10" fillId="2" borderId="0" xfId="0" applyFont="1" applyFill="1" applyBorder="1" applyAlignment="1" applyProtection="1">
      <alignment vertical="center"/>
      <protection locked="0"/>
    </xf>
    <xf numFmtId="0" fontId="13" fillId="9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0" fontId="0" fillId="6" borderId="0" xfId="0" applyFill="1" applyBorder="1" applyProtection="1">
      <protection locked="0"/>
    </xf>
    <xf numFmtId="0" fontId="0" fillId="6" borderId="0" xfId="0" applyFill="1" applyProtection="1">
      <protection locked="0"/>
    </xf>
    <xf numFmtId="0" fontId="3" fillId="5" borderId="6" xfId="0" applyFont="1" applyFill="1" applyBorder="1" applyAlignment="1" applyProtection="1">
      <alignment horizontal="center"/>
      <protection locked="0"/>
    </xf>
    <xf numFmtId="0" fontId="12" fillId="9" borderId="33" xfId="0" applyFont="1" applyFill="1" applyBorder="1" applyAlignment="1" applyProtection="1">
      <alignment horizontal="centerContinuous" vertical="center"/>
      <protection locked="0"/>
    </xf>
    <xf numFmtId="0" fontId="12" fillId="9" borderId="2" xfId="0" applyFont="1" applyFill="1" applyBorder="1" applyAlignment="1" applyProtection="1">
      <alignment horizontal="centerContinuous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3" fillId="5" borderId="6" xfId="0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Alignment="1">
      <alignment horizontal="left"/>
    </xf>
    <xf numFmtId="0" fontId="0" fillId="8" borderId="0" xfId="0" applyFill="1" applyBorder="1" applyProtection="1"/>
    <xf numFmtId="0" fontId="0" fillId="8" borderId="0" xfId="0" applyFill="1" applyProtection="1"/>
    <xf numFmtId="0" fontId="4" fillId="8" borderId="0" xfId="0" applyFont="1" applyFill="1" applyBorder="1" applyAlignment="1" applyProtection="1">
      <alignment horizontal="center" vertical="center" wrapText="1"/>
    </xf>
    <xf numFmtId="0" fontId="4" fillId="8" borderId="0" xfId="0" applyFont="1" applyFill="1" applyBorder="1" applyAlignment="1" applyProtection="1">
      <alignment vertical="center"/>
    </xf>
    <xf numFmtId="0" fontId="2" fillId="8" borderId="0" xfId="0" applyFont="1" applyFill="1" applyBorder="1" applyAlignment="1" applyProtection="1">
      <alignment horizontal="center"/>
    </xf>
    <xf numFmtId="0" fontId="4" fillId="8" borderId="0" xfId="0" applyFont="1" applyFill="1" applyProtection="1"/>
    <xf numFmtId="0" fontId="18" fillId="8" borderId="0" xfId="0" applyFont="1" applyFill="1" applyBorder="1" applyAlignment="1" applyProtection="1">
      <alignment horizontal="center"/>
    </xf>
    <xf numFmtId="0" fontId="18" fillId="8" borderId="0" xfId="0" applyFont="1" applyFill="1" applyBorder="1" applyProtection="1"/>
    <xf numFmtId="0" fontId="0" fillId="2" borderId="0" xfId="0" applyFill="1" applyAlignment="1" applyProtection="1">
      <alignment horizontal="center"/>
    </xf>
    <xf numFmtId="0" fontId="2" fillId="2" borderId="0" xfId="0" applyFont="1" applyFill="1" applyProtection="1"/>
    <xf numFmtId="0" fontId="0" fillId="2" borderId="0" xfId="0" applyFill="1" applyBorder="1" applyProtection="1"/>
    <xf numFmtId="0" fontId="0" fillId="0" borderId="0" xfId="0" applyProtection="1"/>
    <xf numFmtId="49" fontId="0" fillId="8" borderId="0" xfId="0" applyNumberFormat="1" applyFill="1" applyAlignment="1" applyProtection="1">
      <alignment horizontal="center"/>
    </xf>
    <xf numFmtId="49" fontId="0" fillId="8" borderId="0" xfId="0" applyNumberFormat="1" applyFill="1" applyProtection="1"/>
    <xf numFmtId="0" fontId="0" fillId="8" borderId="0" xfId="0" applyFill="1" applyAlignment="1" applyProtection="1">
      <alignment horizontal="center"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 horizontal="left"/>
    </xf>
    <xf numFmtId="0" fontId="1" fillId="6" borderId="0" xfId="0" applyFont="1" applyFill="1" applyBorder="1" applyAlignment="1">
      <alignment horizontal="left"/>
    </xf>
    <xf numFmtId="0" fontId="0" fillId="6" borderId="0" xfId="0" applyFill="1" applyBorder="1"/>
    <xf numFmtId="0" fontId="2" fillId="0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1" fillId="10" borderId="6" xfId="0" applyFont="1" applyFill="1" applyBorder="1" applyAlignment="1" applyProtection="1">
      <alignment horizontal="center" vertical="distributed"/>
      <protection locked="0"/>
    </xf>
    <xf numFmtId="0" fontId="1" fillId="10" borderId="1" xfId="0" applyFont="1" applyFill="1" applyBorder="1" applyAlignment="1" applyProtection="1">
      <alignment horizontal="center" vertical="distributed"/>
      <protection locked="0"/>
    </xf>
    <xf numFmtId="0" fontId="12" fillId="11" borderId="28" xfId="0" applyFont="1" applyFill="1" applyBorder="1" applyAlignment="1">
      <alignment horizontal="center" vertical="center" wrapText="1"/>
    </xf>
    <xf numFmtId="0" fontId="12" fillId="11" borderId="30" xfId="0" applyFont="1" applyFill="1" applyBorder="1" applyAlignment="1">
      <alignment horizontal="center" vertical="center" wrapText="1"/>
    </xf>
    <xf numFmtId="0" fontId="12" fillId="11" borderId="2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1" fillId="0" borderId="3" xfId="0" applyFont="1" applyFill="1" applyBorder="1" applyAlignment="1" applyProtection="1">
      <alignment horizontal="left" vertical="top" wrapText="1"/>
      <protection locked="0"/>
    </xf>
    <xf numFmtId="0" fontId="1" fillId="2" borderId="6" xfId="0" applyFont="1" applyFill="1" applyBorder="1" applyAlignment="1" applyProtection="1">
      <alignment horizontal="justify" vertical="center" wrapText="1"/>
      <protection locked="0"/>
    </xf>
    <xf numFmtId="0" fontId="1" fillId="2" borderId="0" xfId="0" applyFont="1" applyFill="1" applyBorder="1" applyAlignment="1" applyProtection="1">
      <alignment wrapText="1"/>
      <protection locked="0"/>
    </xf>
    <xf numFmtId="0" fontId="1" fillId="2" borderId="14" xfId="0" applyFont="1" applyFill="1" applyBorder="1" applyAlignment="1" applyProtection="1">
      <alignment horizontal="justify" vertical="top"/>
      <protection locked="0"/>
    </xf>
    <xf numFmtId="0" fontId="1" fillId="2" borderId="6" xfId="0" applyFont="1" applyFill="1" applyBorder="1" applyAlignment="1" applyProtection="1">
      <alignment horizontal="justify" vertical="top"/>
      <protection locked="0"/>
    </xf>
    <xf numFmtId="0" fontId="1" fillId="0" borderId="14" xfId="0" applyFont="1" applyBorder="1" applyAlignment="1" applyProtection="1">
      <alignment vertical="distributed"/>
      <protection locked="0"/>
    </xf>
    <xf numFmtId="17" fontId="0" fillId="2" borderId="3" xfId="0" applyNumberFormat="1" applyFill="1" applyBorder="1" applyAlignment="1" applyProtection="1">
      <alignment horizontal="center" vertical="center"/>
      <protection locked="0"/>
    </xf>
    <xf numFmtId="17" fontId="0" fillId="2" borderId="1" xfId="0" applyNumberFormat="1" applyFill="1" applyBorder="1" applyAlignment="1" applyProtection="1">
      <alignment horizontal="center" vertical="center"/>
      <protection locked="0"/>
    </xf>
    <xf numFmtId="0" fontId="1" fillId="8" borderId="0" xfId="0" applyFont="1" applyFill="1" applyProtection="1"/>
    <xf numFmtId="0" fontId="2" fillId="12" borderId="6" xfId="0" applyFont="1" applyFill="1" applyBorder="1" applyAlignment="1" applyProtection="1">
      <alignment horizontal="center" vertical="center"/>
      <protection locked="0"/>
    </xf>
    <xf numFmtId="0" fontId="2" fillId="12" borderId="6" xfId="0" applyFont="1" applyFill="1" applyBorder="1" applyAlignment="1" applyProtection="1">
      <alignment horizontal="center" vertical="distributed"/>
      <protection locked="0"/>
    </xf>
    <xf numFmtId="0" fontId="1" fillId="0" borderId="6" xfId="0" applyFont="1" applyFill="1" applyBorder="1" applyAlignment="1" applyProtection="1">
      <alignment horizontal="justify" vertical="top"/>
      <protection locked="0"/>
    </xf>
    <xf numFmtId="0" fontId="0" fillId="0" borderId="6" xfId="0" applyFill="1" applyBorder="1" applyAlignment="1" applyProtection="1">
      <alignment horizontal="justify" vertical="top"/>
      <protection locked="0"/>
    </xf>
    <xf numFmtId="17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0" fontId="1" fillId="0" borderId="14" xfId="0" applyFont="1" applyFill="1" applyBorder="1" applyAlignment="1" applyProtection="1">
      <alignment horizontal="justify" vertical="top"/>
      <protection locked="0"/>
    </xf>
    <xf numFmtId="0" fontId="0" fillId="0" borderId="14" xfId="0" applyFill="1" applyBorder="1" applyAlignment="1" applyProtection="1">
      <alignment horizontal="justify" vertical="top"/>
      <protection locked="0"/>
    </xf>
    <xf numFmtId="17" fontId="0" fillId="0" borderId="14" xfId="0" applyNumberFormat="1" applyFill="1" applyBorder="1" applyAlignment="1" applyProtection="1">
      <alignment horizontal="center" vertical="center"/>
      <protection locked="0"/>
    </xf>
    <xf numFmtId="43" fontId="1" fillId="0" borderId="6" xfId="1" applyFont="1" applyFill="1" applyBorder="1" applyAlignment="1" applyProtection="1">
      <alignment horizontal="right" vertical="top"/>
      <protection locked="0"/>
    </xf>
    <xf numFmtId="0" fontId="0" fillId="0" borderId="6" xfId="0" applyFill="1" applyBorder="1" applyProtection="1"/>
    <xf numFmtId="0" fontId="1" fillId="2" borderId="0" xfId="0" applyFont="1" applyFill="1" applyBorder="1" applyAlignment="1" applyProtection="1">
      <alignment vertical="center" wrapText="1"/>
      <protection locked="0"/>
    </xf>
    <xf numFmtId="0" fontId="11" fillId="6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8" fillId="0" borderId="13" xfId="0" applyFont="1" applyFill="1" applyBorder="1" applyAlignment="1" applyProtection="1">
      <alignment horizontal="left" vertical="center" wrapText="1"/>
      <protection locked="0"/>
    </xf>
    <xf numFmtId="0" fontId="8" fillId="0" borderId="15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8" fillId="0" borderId="8" xfId="0" applyFont="1" applyFill="1" applyBorder="1" applyAlignment="1" applyProtection="1">
      <alignment horizontal="left" vertical="center" wrapText="1"/>
      <protection locked="0"/>
    </xf>
    <xf numFmtId="0" fontId="8" fillId="0" borderId="17" xfId="0" applyFont="1" applyFill="1" applyBorder="1" applyAlignment="1" applyProtection="1">
      <alignment horizontal="left" vertical="center" wrapText="1"/>
      <protection locked="0"/>
    </xf>
    <xf numFmtId="0" fontId="8" fillId="0" borderId="16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49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left" vertical="center" wrapText="1"/>
      <protection locked="0"/>
    </xf>
    <xf numFmtId="49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/>
    </xf>
    <xf numFmtId="0" fontId="12" fillId="11" borderId="36" xfId="0" applyFont="1" applyFill="1" applyBorder="1" applyAlignment="1">
      <alignment horizontal="center" vertical="center" wrapText="1"/>
    </xf>
    <xf numFmtId="0" fontId="12" fillId="11" borderId="37" xfId="0" applyFont="1" applyFill="1" applyBorder="1" applyAlignment="1">
      <alignment horizontal="center" vertical="center" wrapText="1"/>
    </xf>
    <xf numFmtId="0" fontId="12" fillId="11" borderId="38" xfId="0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Fill="1" applyBorder="1" applyAlignment="1" applyProtection="1">
      <alignment horizontal="center" vertical="center"/>
      <protection locked="0"/>
    </xf>
    <xf numFmtId="49" fontId="4" fillId="0" borderId="19" xfId="0" applyNumberFormat="1" applyFont="1" applyFill="1" applyBorder="1" applyAlignment="1" applyProtection="1">
      <alignment horizontal="center" vertical="center"/>
      <protection locked="0"/>
    </xf>
    <xf numFmtId="49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8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12" fillId="9" borderId="32" xfId="0" applyFont="1" applyFill="1" applyBorder="1" applyAlignment="1" applyProtection="1">
      <alignment horizontal="center" vertical="center"/>
      <protection locked="0"/>
    </xf>
    <xf numFmtId="0" fontId="12" fillId="9" borderId="33" xfId="0" applyFont="1" applyFill="1" applyBorder="1" applyAlignment="1" applyProtection="1">
      <alignment horizontal="center" vertical="center"/>
      <protection locked="0"/>
    </xf>
    <xf numFmtId="0" fontId="12" fillId="9" borderId="36" xfId="0" applyFont="1" applyFill="1" applyBorder="1" applyAlignment="1" applyProtection="1">
      <alignment horizontal="center" vertical="center"/>
      <protection locked="0"/>
    </xf>
    <xf numFmtId="0" fontId="12" fillId="9" borderId="37" xfId="0" applyFont="1" applyFill="1" applyBorder="1" applyAlignment="1" applyProtection="1">
      <alignment horizontal="center" vertical="center"/>
      <protection locked="0"/>
    </xf>
    <xf numFmtId="0" fontId="12" fillId="9" borderId="38" xfId="0" applyFont="1" applyFill="1" applyBorder="1" applyAlignment="1" applyProtection="1">
      <alignment horizontal="center" vertical="center"/>
      <protection locked="0"/>
    </xf>
    <xf numFmtId="0" fontId="12" fillId="9" borderId="23" xfId="0" applyFont="1" applyFill="1" applyBorder="1" applyAlignment="1" applyProtection="1">
      <alignment horizontal="left"/>
      <protection locked="0"/>
    </xf>
    <xf numFmtId="0" fontId="12" fillId="9" borderId="33" xfId="0" applyFont="1" applyFill="1" applyBorder="1" applyAlignment="1" applyProtection="1">
      <alignment horizontal="left"/>
      <protection locked="0"/>
    </xf>
    <xf numFmtId="0" fontId="12" fillId="9" borderId="39" xfId="0" applyFont="1" applyFill="1" applyBorder="1" applyAlignment="1" applyProtection="1">
      <alignment horizontal="left"/>
      <protection locked="0"/>
    </xf>
    <xf numFmtId="0" fontId="12" fillId="9" borderId="16" xfId="0" applyFont="1" applyFill="1" applyBorder="1" applyAlignment="1" applyProtection="1">
      <alignment horizontal="left"/>
      <protection locked="0"/>
    </xf>
    <xf numFmtId="0" fontId="13" fillId="9" borderId="17" xfId="0" applyFont="1" applyFill="1" applyBorder="1" applyAlignment="1" applyProtection="1">
      <alignment horizontal="center" wrapText="1"/>
      <protection locked="0"/>
    </xf>
    <xf numFmtId="0" fontId="13" fillId="9" borderId="11" xfId="0" applyFont="1" applyFill="1" applyBorder="1" applyAlignment="1" applyProtection="1">
      <alignment horizontal="center" wrapText="1"/>
      <protection locked="0"/>
    </xf>
    <xf numFmtId="0" fontId="12" fillId="9" borderId="7" xfId="0" applyFont="1" applyFill="1" applyBorder="1" applyAlignment="1" applyProtection="1">
      <alignment horizontal="center"/>
      <protection locked="0"/>
    </xf>
    <xf numFmtId="0" fontId="12" fillId="9" borderId="8" xfId="0" applyFont="1" applyFill="1" applyBorder="1" applyAlignment="1" applyProtection="1">
      <alignment horizontal="center"/>
      <protection locked="0"/>
    </xf>
    <xf numFmtId="0" fontId="12" fillId="9" borderId="32" xfId="0" applyFont="1" applyFill="1" applyBorder="1" applyAlignment="1" applyProtection="1">
      <alignment horizontal="center"/>
      <protection locked="0"/>
    </xf>
    <xf numFmtId="0" fontId="12" fillId="9" borderId="4" xfId="0" applyFont="1" applyFill="1" applyBorder="1" applyAlignment="1" applyProtection="1">
      <alignment horizontal="center"/>
      <protection locked="0"/>
    </xf>
    <xf numFmtId="0" fontId="13" fillId="9" borderId="32" xfId="0" applyFont="1" applyFill="1" applyBorder="1" applyAlignment="1" applyProtection="1">
      <alignment horizontal="center" wrapText="1"/>
      <protection locked="0"/>
    </xf>
    <xf numFmtId="0" fontId="13" fillId="9" borderId="33" xfId="0" applyFont="1" applyFill="1" applyBorder="1" applyAlignment="1" applyProtection="1">
      <alignment horizontal="center" wrapText="1"/>
      <protection locked="0"/>
    </xf>
    <xf numFmtId="0" fontId="12" fillId="9" borderId="32" xfId="0" applyFont="1" applyFill="1" applyBorder="1" applyAlignment="1" applyProtection="1">
      <alignment horizontal="center" vertical="center" wrapText="1"/>
      <protection locked="0"/>
    </xf>
    <xf numFmtId="0" fontId="12" fillId="9" borderId="33" xfId="0" applyFont="1" applyFill="1" applyBorder="1" applyAlignment="1" applyProtection="1">
      <alignment horizontal="center" vertical="center" wrapText="1"/>
      <protection locked="0"/>
    </xf>
    <xf numFmtId="0" fontId="12" fillId="9" borderId="18" xfId="0" applyFont="1" applyFill="1" applyBorder="1" applyAlignment="1" applyProtection="1">
      <alignment horizontal="center" vertical="center"/>
      <protection locked="0"/>
    </xf>
    <xf numFmtId="0" fontId="12" fillId="9" borderId="20" xfId="0" applyFont="1" applyFill="1" applyBorder="1" applyAlignment="1" applyProtection="1">
      <alignment horizontal="center" vertical="center"/>
      <protection locked="0"/>
    </xf>
    <xf numFmtId="0" fontId="0" fillId="0" borderId="25" xfId="0" applyNumberFormat="1" applyBorder="1" applyAlignment="1" applyProtection="1">
      <alignment horizontal="center" vertical="top"/>
      <protection locked="0"/>
    </xf>
    <xf numFmtId="49" fontId="0" fillId="0" borderId="19" xfId="0" applyNumberFormat="1" applyBorder="1" applyAlignment="1" applyProtection="1">
      <alignment horizontal="center" vertical="top"/>
      <protection locked="0"/>
    </xf>
    <xf numFmtId="49" fontId="0" fillId="0" borderId="20" xfId="0" applyNumberFormat="1" applyBorder="1" applyAlignment="1" applyProtection="1">
      <alignment horizontal="center" vertical="top"/>
      <protection locked="0"/>
    </xf>
    <xf numFmtId="0" fontId="0" fillId="2" borderId="12" xfId="0" applyFill="1" applyBorder="1" applyAlignment="1" applyProtection="1">
      <alignment horizontal="justify" vertical="top"/>
      <protection locked="0"/>
    </xf>
    <xf numFmtId="0" fontId="0" fillId="2" borderId="13" xfId="0" applyFill="1" applyBorder="1" applyAlignment="1" applyProtection="1">
      <alignment horizontal="justify" vertical="top"/>
      <protection locked="0"/>
    </xf>
    <xf numFmtId="0" fontId="0" fillId="2" borderId="15" xfId="0" applyFill="1" applyBorder="1" applyAlignment="1" applyProtection="1">
      <alignment horizontal="justify" vertical="top"/>
      <protection locked="0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49" fontId="0" fillId="0" borderId="24" xfId="0" applyNumberFormat="1" applyBorder="1" applyAlignment="1" applyProtection="1">
      <alignment horizontal="center" vertical="top"/>
      <protection locked="0"/>
    </xf>
    <xf numFmtId="0" fontId="0" fillId="2" borderId="14" xfId="0" applyFill="1" applyBorder="1" applyAlignment="1" applyProtection="1">
      <alignment horizontal="justify" vertical="top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4" fillId="0" borderId="12" xfId="0" applyNumberFormat="1" applyFont="1" applyBorder="1" applyAlignment="1" applyProtection="1">
      <alignment horizontal="center" vertical="top"/>
      <protection locked="0"/>
    </xf>
    <xf numFmtId="49" fontId="0" fillId="0" borderId="13" xfId="0" applyNumberFormat="1" applyBorder="1" applyAlignment="1" applyProtection="1">
      <alignment horizontal="center" vertical="top"/>
      <protection locked="0"/>
    </xf>
    <xf numFmtId="49" fontId="0" fillId="0" borderId="14" xfId="0" applyNumberFormat="1" applyBorder="1" applyAlignment="1" applyProtection="1">
      <alignment horizontal="center" vertical="top"/>
      <protection locked="0"/>
    </xf>
    <xf numFmtId="49" fontId="0" fillId="0" borderId="15" xfId="0" applyNumberFormat="1" applyBorder="1" applyAlignment="1" applyProtection="1">
      <alignment horizontal="center" vertical="top"/>
      <protection locked="0"/>
    </xf>
    <xf numFmtId="0" fontId="4" fillId="0" borderId="25" xfId="0" applyNumberFormat="1" applyFont="1" applyBorder="1" applyAlignment="1" applyProtection="1">
      <alignment horizontal="center" vertical="top"/>
      <protection locked="0"/>
    </xf>
    <xf numFmtId="0" fontId="12" fillId="9" borderId="34" xfId="0" applyFont="1" applyFill="1" applyBorder="1" applyAlignment="1" applyProtection="1">
      <alignment horizontal="center" vertical="center"/>
      <protection locked="0"/>
    </xf>
    <xf numFmtId="0" fontId="12" fillId="9" borderId="9" xfId="0" applyFont="1" applyFill="1" applyBorder="1" applyAlignment="1" applyProtection="1">
      <alignment horizontal="center" vertical="center"/>
      <protection locked="0"/>
    </xf>
    <xf numFmtId="0" fontId="12" fillId="9" borderId="11" xfId="0" applyFont="1" applyFill="1" applyBorder="1" applyAlignment="1" applyProtection="1">
      <alignment horizontal="center" vertical="center"/>
      <protection locked="0"/>
    </xf>
    <xf numFmtId="0" fontId="12" fillId="9" borderId="19" xfId="0" applyFont="1" applyFill="1" applyBorder="1" applyAlignment="1" applyProtection="1">
      <alignment horizontal="center" vertical="center"/>
      <protection locked="0"/>
    </xf>
    <xf numFmtId="0" fontId="12" fillId="9" borderId="24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12" fillId="9" borderId="31" xfId="0" applyFont="1" applyFill="1" applyBorder="1" applyAlignment="1" applyProtection="1">
      <alignment horizontal="center" vertical="center" textRotation="90" wrapText="1"/>
      <protection locked="0"/>
    </xf>
    <xf numFmtId="0" fontId="12" fillId="9" borderId="13" xfId="0" applyFont="1" applyFill="1" applyBorder="1" applyAlignment="1" applyProtection="1">
      <alignment horizontal="center" vertical="center" textRotation="90" wrapText="1"/>
      <protection locked="0"/>
    </xf>
    <xf numFmtId="0" fontId="14" fillId="9" borderId="14" xfId="0" applyFont="1" applyFill="1" applyBorder="1" applyAlignment="1" applyProtection="1">
      <alignment horizontal="center" vertical="center" textRotation="90" wrapText="1"/>
      <protection locked="0"/>
    </xf>
    <xf numFmtId="0" fontId="2" fillId="12" borderId="6" xfId="0" applyFont="1" applyFill="1" applyBorder="1" applyAlignment="1" applyProtection="1">
      <alignment horizontal="center" vertical="center"/>
      <protection locked="0"/>
    </xf>
    <xf numFmtId="0" fontId="12" fillId="9" borderId="35" xfId="0" applyFont="1" applyFill="1" applyBorder="1" applyAlignment="1" applyProtection="1">
      <alignment horizontal="center" vertical="center"/>
      <protection locked="0"/>
    </xf>
    <xf numFmtId="0" fontId="12" fillId="9" borderId="10" xfId="0" applyFont="1" applyFill="1" applyBorder="1" applyAlignment="1" applyProtection="1">
      <alignment horizontal="center" vertical="center"/>
      <protection locked="0"/>
    </xf>
    <xf numFmtId="0" fontId="2" fillId="10" borderId="6" xfId="0" applyFont="1" applyFill="1" applyBorder="1" applyAlignment="1" applyProtection="1">
      <alignment horizontal="center" vertical="center" wrapText="1"/>
      <protection locked="0"/>
    </xf>
    <xf numFmtId="0" fontId="2" fillId="10" borderId="6" xfId="0" applyFont="1" applyFill="1" applyBorder="1" applyAlignment="1" applyProtection="1">
      <alignment horizontal="center" vertical="center"/>
      <protection locked="0"/>
    </xf>
    <xf numFmtId="0" fontId="2" fillId="12" borderId="12" xfId="0" applyFont="1" applyFill="1" applyBorder="1" applyAlignment="1" applyProtection="1">
      <alignment horizontal="center" vertical="center" wrapText="1"/>
      <protection locked="0"/>
    </xf>
    <xf numFmtId="0" fontId="2" fillId="12" borderId="14" xfId="0" applyFont="1" applyFill="1" applyBorder="1" applyAlignment="1" applyProtection="1">
      <alignment horizontal="center" vertical="center" wrapText="1"/>
      <protection locked="0"/>
    </xf>
    <xf numFmtId="0" fontId="2" fillId="10" borderId="6" xfId="0" applyFont="1" applyFill="1" applyBorder="1" applyAlignment="1" applyProtection="1">
      <alignment horizontal="center" vertical="distributed"/>
      <protection locked="0"/>
    </xf>
    <xf numFmtId="0" fontId="2" fillId="10" borderId="1" xfId="0" applyFont="1" applyFill="1" applyBorder="1" applyAlignment="1" applyProtection="1">
      <alignment horizontal="center" vertical="distributed"/>
      <protection locked="0"/>
    </xf>
    <xf numFmtId="0" fontId="2" fillId="10" borderId="35" xfId="0" applyFont="1" applyFill="1" applyBorder="1" applyAlignment="1" applyProtection="1">
      <alignment horizontal="center" vertical="center" wrapText="1"/>
      <protection locked="0"/>
    </xf>
    <xf numFmtId="0" fontId="2" fillId="10" borderId="26" xfId="0" applyFont="1" applyFill="1" applyBorder="1" applyAlignment="1" applyProtection="1">
      <alignment horizontal="center" vertical="center" wrapText="1"/>
      <protection locked="0"/>
    </xf>
    <xf numFmtId="0" fontId="2" fillId="10" borderId="27" xfId="0" applyFont="1" applyFill="1" applyBorder="1" applyAlignment="1" applyProtection="1">
      <alignment horizontal="center" vertical="center" wrapText="1"/>
      <protection locked="0"/>
    </xf>
    <xf numFmtId="0" fontId="0" fillId="13" borderId="14" xfId="0" applyFill="1" applyBorder="1" applyAlignment="1" applyProtection="1">
      <alignment horizontal="justify" vertical="top"/>
      <protection locked="0"/>
    </xf>
    <xf numFmtId="43" fontId="1" fillId="13" borderId="6" xfId="1" applyFont="1" applyFill="1" applyBorder="1" applyAlignment="1" applyProtection="1">
      <alignment horizontal="right" vertical="top"/>
      <protection locked="0"/>
    </xf>
    <xf numFmtId="0" fontId="0" fillId="13" borderId="6" xfId="0" applyFill="1" applyBorder="1" applyAlignment="1" applyProtection="1">
      <alignment horizontal="justify" vertical="top"/>
      <protection locked="0"/>
    </xf>
  </cellXfs>
  <cellStyles count="2">
    <cellStyle name="Normal" xfId="0" builtinId="0"/>
    <cellStyle name="Vírgula" xfId="1" builtinId="3"/>
  </cellStyles>
  <dxfs count="32"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>
          <bgColor theme="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theme="0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solid">
          <fgColor rgb="FF00FF00"/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theme="0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66FF33"/>
      <color rgb="FF00FF00"/>
      <color rgb="FF25E32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17146</xdr:colOff>
      <xdr:row>1</xdr:row>
      <xdr:rowOff>3810</xdr:rowOff>
    </xdr:from>
    <xdr:to>
      <xdr:col>2</xdr:col>
      <xdr:colOff>861060</xdr:colOff>
      <xdr:row>3</xdr:row>
      <xdr:rowOff>3810</xdr:rowOff>
    </xdr:to>
    <xdr:pic>
      <xdr:nvPicPr>
        <xdr:cNvPr id="410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5766" y="171450"/>
          <a:ext cx="1186814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910589</xdr:colOff>
      <xdr:row>2</xdr:row>
      <xdr:rowOff>19050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161925"/>
          <a:ext cx="1177289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453389</xdr:colOff>
      <xdr:row>1</xdr:row>
      <xdr:rowOff>457200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161925"/>
          <a:ext cx="1177289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-0.249977111117893"/>
  </sheetPr>
  <dimension ref="A1:I215"/>
  <sheetViews>
    <sheetView tabSelected="1" topLeftCell="B1" zoomScaleNormal="100" zoomScaleSheetLayoutView="100" workbookViewId="0">
      <pane xSplit="5" ySplit="7" topLeftCell="G23" activePane="bottomRight" state="frozen"/>
      <selection activeCell="B1" sqref="B1"/>
      <selection pane="topRight" activeCell="G1" sqref="G1"/>
      <selection pane="bottomLeft" activeCell="B8" sqref="B8"/>
      <selection pane="bottomRight" activeCell="B58" sqref="B58:B67"/>
    </sheetView>
  </sheetViews>
  <sheetFormatPr defaultColWidth="11.42578125" defaultRowHeight="12.75" x14ac:dyDescent="0.2"/>
  <cols>
    <col min="1" max="1" width="5.7109375" style="41" customWidth="1"/>
    <col min="2" max="2" width="5" style="43" customWidth="1"/>
    <col min="3" max="3" width="44" style="44" customWidth="1"/>
    <col min="4" max="4" width="14.42578125" style="44" customWidth="1"/>
    <col min="5" max="5" width="19.85546875" style="45" customWidth="1"/>
    <col min="6" max="6" width="18.7109375" style="45" customWidth="1"/>
    <col min="7" max="7" width="53.140625" style="44" customWidth="1"/>
    <col min="8" max="8" width="11.42578125" style="41" customWidth="1"/>
    <col min="9" max="9" width="20.42578125" style="41" hidden="1" customWidth="1"/>
    <col min="10" max="16384" width="11.42578125" style="41"/>
  </cols>
  <sheetData>
    <row r="1" spans="2:9" s="40" customFormat="1" x14ac:dyDescent="0.2">
      <c r="B1" s="87"/>
      <c r="C1" s="88"/>
      <c r="D1" s="88"/>
      <c r="E1" s="89"/>
      <c r="F1" s="89"/>
      <c r="G1" s="88"/>
    </row>
    <row r="2" spans="2:9" s="40" customFormat="1" ht="20.25" x14ac:dyDescent="0.2">
      <c r="B2" s="144" t="s">
        <v>236</v>
      </c>
      <c r="C2" s="144"/>
      <c r="D2" s="144"/>
      <c r="E2" s="144"/>
      <c r="F2" s="144"/>
      <c r="G2" s="144"/>
    </row>
    <row r="3" spans="2:9" s="40" customFormat="1" ht="15.75" x14ac:dyDescent="0.25">
      <c r="B3" s="145" t="s">
        <v>247</v>
      </c>
      <c r="C3" s="145"/>
      <c r="D3" s="145"/>
      <c r="E3" s="145"/>
      <c r="F3" s="145"/>
      <c r="G3" s="145"/>
    </row>
    <row r="4" spans="2:9" s="40" customFormat="1" ht="15.75" x14ac:dyDescent="0.25">
      <c r="B4" s="121" t="s">
        <v>246</v>
      </c>
      <c r="C4" s="122"/>
      <c r="D4" s="122"/>
      <c r="E4" s="122"/>
      <c r="F4" s="122"/>
      <c r="G4" s="122"/>
    </row>
    <row r="5" spans="2:9" s="40" customFormat="1" ht="13.5" thickBot="1" x14ac:dyDescent="0.25">
      <c r="B5" s="90"/>
      <c r="C5" s="90"/>
      <c r="D5" s="90"/>
      <c r="E5" s="90"/>
      <c r="F5" s="90"/>
      <c r="G5" s="90"/>
    </row>
    <row r="6" spans="2:9" s="40" customFormat="1" ht="30" customHeight="1" thickBot="1" x14ac:dyDescent="0.25">
      <c r="B6" s="146" t="s">
        <v>209</v>
      </c>
      <c r="C6" s="147"/>
      <c r="D6" s="147"/>
      <c r="E6" s="147"/>
      <c r="F6" s="147"/>
      <c r="G6" s="148"/>
    </row>
    <row r="7" spans="2:9" ht="13.5" thickBot="1" x14ac:dyDescent="0.25">
      <c r="B7" s="95" t="s">
        <v>15</v>
      </c>
      <c r="C7" s="97" t="s">
        <v>210</v>
      </c>
      <c r="D7" s="97" t="s">
        <v>211</v>
      </c>
      <c r="E7" s="97" t="s">
        <v>212</v>
      </c>
      <c r="F7" s="97" t="s">
        <v>0</v>
      </c>
      <c r="G7" s="96" t="s">
        <v>213</v>
      </c>
    </row>
    <row r="8" spans="2:9" ht="13.5" customHeight="1" x14ac:dyDescent="0.25">
      <c r="B8" s="149">
        <v>1</v>
      </c>
      <c r="C8" s="126" t="s">
        <v>257</v>
      </c>
      <c r="D8" s="130" t="s">
        <v>235</v>
      </c>
      <c r="E8" s="126" t="s">
        <v>258</v>
      </c>
      <c r="F8" s="125" t="s">
        <v>255</v>
      </c>
      <c r="G8" s="99" t="s">
        <v>248</v>
      </c>
      <c r="I8" s="42" t="s">
        <v>235</v>
      </c>
    </row>
    <row r="9" spans="2:9" ht="13.5" x14ac:dyDescent="0.25">
      <c r="B9" s="135"/>
      <c r="C9" s="131"/>
      <c r="D9" s="131"/>
      <c r="E9" s="127"/>
      <c r="F9" s="123"/>
      <c r="G9" s="99" t="s">
        <v>250</v>
      </c>
      <c r="I9" s="42" t="s">
        <v>238</v>
      </c>
    </row>
    <row r="10" spans="2:9" ht="25.5" x14ac:dyDescent="0.25">
      <c r="B10" s="135"/>
      <c r="C10" s="131"/>
      <c r="D10" s="131"/>
      <c r="E10" s="127"/>
      <c r="F10" s="123"/>
      <c r="G10" s="99" t="s">
        <v>256</v>
      </c>
      <c r="I10" s="42" t="s">
        <v>239</v>
      </c>
    </row>
    <row r="11" spans="2:9" ht="13.5" x14ac:dyDescent="0.25">
      <c r="B11" s="135"/>
      <c r="C11" s="131"/>
      <c r="D11" s="131"/>
      <c r="E11" s="127"/>
      <c r="F11" s="123"/>
      <c r="G11" s="99"/>
      <c r="I11" s="42" t="s">
        <v>240</v>
      </c>
    </row>
    <row r="12" spans="2:9" ht="13.5" x14ac:dyDescent="0.25">
      <c r="B12" s="135"/>
      <c r="C12" s="131"/>
      <c r="D12" s="131"/>
      <c r="E12" s="127"/>
      <c r="F12" s="123"/>
      <c r="G12" s="46"/>
      <c r="I12" s="42" t="s">
        <v>241</v>
      </c>
    </row>
    <row r="13" spans="2:9" ht="13.5" x14ac:dyDescent="0.25">
      <c r="B13" s="135"/>
      <c r="C13" s="131"/>
      <c r="D13" s="131"/>
      <c r="E13" s="127"/>
      <c r="F13" s="123"/>
      <c r="G13" s="47"/>
      <c r="I13" s="42" t="s">
        <v>242</v>
      </c>
    </row>
    <row r="14" spans="2:9" ht="13.5" x14ac:dyDescent="0.25">
      <c r="B14" s="136"/>
      <c r="C14" s="132"/>
      <c r="D14" s="132"/>
      <c r="E14" s="128"/>
      <c r="F14" s="123"/>
      <c r="G14" s="47"/>
      <c r="I14" s="42" t="s">
        <v>243</v>
      </c>
    </row>
    <row r="15" spans="2:9" ht="13.5" x14ac:dyDescent="0.25">
      <c r="B15" s="136"/>
      <c r="C15" s="132"/>
      <c r="D15" s="132"/>
      <c r="E15" s="128"/>
      <c r="F15" s="123"/>
      <c r="G15" s="47"/>
      <c r="I15" s="42" t="s">
        <v>244</v>
      </c>
    </row>
    <row r="16" spans="2:9" x14ac:dyDescent="0.2">
      <c r="B16" s="136"/>
      <c r="C16" s="132"/>
      <c r="D16" s="132"/>
      <c r="E16" s="128"/>
      <c r="F16" s="123"/>
      <c r="G16" s="47"/>
    </row>
    <row r="17" spans="2:7" ht="13.5" thickBot="1" x14ac:dyDescent="0.25">
      <c r="B17" s="137"/>
      <c r="C17" s="133"/>
      <c r="D17" s="133"/>
      <c r="E17" s="129"/>
      <c r="F17" s="124"/>
      <c r="G17" s="49"/>
    </row>
    <row r="18" spans="2:7" ht="12.75" customHeight="1" x14ac:dyDescent="0.2">
      <c r="B18" s="149">
        <v>2</v>
      </c>
      <c r="C18" s="126" t="s">
        <v>249</v>
      </c>
      <c r="D18" s="130" t="s">
        <v>238</v>
      </c>
      <c r="E18" s="126" t="s">
        <v>288</v>
      </c>
      <c r="F18" s="125" t="s">
        <v>254</v>
      </c>
      <c r="G18" s="99" t="s">
        <v>251</v>
      </c>
    </row>
    <row r="19" spans="2:7" x14ac:dyDescent="0.2">
      <c r="B19" s="149"/>
      <c r="C19" s="131"/>
      <c r="D19" s="131"/>
      <c r="E19" s="127"/>
      <c r="F19" s="123"/>
      <c r="G19" s="99" t="s">
        <v>252</v>
      </c>
    </row>
    <row r="20" spans="2:7" x14ac:dyDescent="0.2">
      <c r="B20" s="149"/>
      <c r="C20" s="131"/>
      <c r="D20" s="131"/>
      <c r="E20" s="127"/>
      <c r="F20" s="123"/>
      <c r="G20" s="99" t="s">
        <v>253</v>
      </c>
    </row>
    <row r="21" spans="2:7" x14ac:dyDescent="0.2">
      <c r="B21" s="149"/>
      <c r="C21" s="131"/>
      <c r="D21" s="131"/>
      <c r="E21" s="127"/>
      <c r="F21" s="123"/>
      <c r="G21" s="46"/>
    </row>
    <row r="22" spans="2:7" x14ac:dyDescent="0.2">
      <c r="B22" s="149"/>
      <c r="C22" s="131"/>
      <c r="D22" s="131"/>
      <c r="E22" s="127"/>
      <c r="F22" s="123"/>
      <c r="G22" s="46"/>
    </row>
    <row r="23" spans="2:7" x14ac:dyDescent="0.2">
      <c r="B23" s="135"/>
      <c r="C23" s="131"/>
      <c r="D23" s="131"/>
      <c r="E23" s="127"/>
      <c r="F23" s="123"/>
      <c r="G23" s="47"/>
    </row>
    <row r="24" spans="2:7" x14ac:dyDescent="0.2">
      <c r="B24" s="135"/>
      <c r="C24" s="132"/>
      <c r="D24" s="132"/>
      <c r="E24" s="128"/>
      <c r="F24" s="123"/>
      <c r="G24" s="47"/>
    </row>
    <row r="25" spans="2:7" x14ac:dyDescent="0.2">
      <c r="B25" s="135"/>
      <c r="C25" s="132"/>
      <c r="D25" s="132"/>
      <c r="E25" s="128"/>
      <c r="F25" s="123"/>
      <c r="G25" s="47"/>
    </row>
    <row r="26" spans="2:7" x14ac:dyDescent="0.2">
      <c r="B26" s="136"/>
      <c r="C26" s="132"/>
      <c r="D26" s="132"/>
      <c r="E26" s="128"/>
      <c r="F26" s="123"/>
      <c r="G26" s="47"/>
    </row>
    <row r="27" spans="2:7" ht="13.5" thickBot="1" x14ac:dyDescent="0.25">
      <c r="B27" s="137"/>
      <c r="C27" s="133"/>
      <c r="D27" s="133"/>
      <c r="E27" s="129"/>
      <c r="F27" s="124"/>
      <c r="G27" s="49"/>
    </row>
    <row r="28" spans="2:7" ht="12.75" customHeight="1" x14ac:dyDescent="0.2">
      <c r="B28" s="150">
        <v>3</v>
      </c>
      <c r="C28" s="126" t="s">
        <v>268</v>
      </c>
      <c r="D28" s="130" t="s">
        <v>244</v>
      </c>
      <c r="E28" s="126" t="s">
        <v>269</v>
      </c>
      <c r="F28" s="125" t="s">
        <v>270</v>
      </c>
      <c r="G28" s="99" t="s">
        <v>263</v>
      </c>
    </row>
    <row r="29" spans="2:7" x14ac:dyDescent="0.2">
      <c r="B29" s="151"/>
      <c r="C29" s="131"/>
      <c r="D29" s="131"/>
      <c r="E29" s="127"/>
      <c r="F29" s="123"/>
      <c r="G29" s="99"/>
    </row>
    <row r="30" spans="2:7" x14ac:dyDescent="0.2">
      <c r="B30" s="151"/>
      <c r="C30" s="131"/>
      <c r="D30" s="131"/>
      <c r="E30" s="127"/>
      <c r="F30" s="123"/>
      <c r="G30" s="99"/>
    </row>
    <row r="31" spans="2:7" x14ac:dyDescent="0.2">
      <c r="B31" s="151"/>
      <c r="C31" s="131"/>
      <c r="D31" s="131"/>
      <c r="E31" s="127"/>
      <c r="F31" s="123"/>
      <c r="G31" s="99"/>
    </row>
    <row r="32" spans="2:7" x14ac:dyDescent="0.2">
      <c r="B32" s="151"/>
      <c r="C32" s="131"/>
      <c r="D32" s="131"/>
      <c r="E32" s="127"/>
      <c r="F32" s="123"/>
      <c r="G32" s="47"/>
    </row>
    <row r="33" spans="2:7" x14ac:dyDescent="0.2">
      <c r="B33" s="142"/>
      <c r="C33" s="131"/>
      <c r="D33" s="131"/>
      <c r="E33" s="127"/>
      <c r="F33" s="123"/>
      <c r="G33" s="47"/>
    </row>
    <row r="34" spans="2:7" x14ac:dyDescent="0.2">
      <c r="B34" s="142"/>
      <c r="C34" s="132"/>
      <c r="D34" s="132"/>
      <c r="E34" s="128"/>
      <c r="F34" s="123"/>
      <c r="G34" s="47"/>
    </row>
    <row r="35" spans="2:7" x14ac:dyDescent="0.2">
      <c r="B35" s="142"/>
      <c r="C35" s="132"/>
      <c r="D35" s="132"/>
      <c r="E35" s="128"/>
      <c r="F35" s="123"/>
      <c r="G35" s="47"/>
    </row>
    <row r="36" spans="2:7" x14ac:dyDescent="0.2">
      <c r="B36" s="142"/>
      <c r="C36" s="132"/>
      <c r="D36" s="132"/>
      <c r="E36" s="128"/>
      <c r="F36" s="123"/>
      <c r="G36" s="47"/>
    </row>
    <row r="37" spans="2:7" ht="13.5" thickBot="1" x14ac:dyDescent="0.25">
      <c r="B37" s="143"/>
      <c r="C37" s="133"/>
      <c r="D37" s="133"/>
      <c r="E37" s="129"/>
      <c r="F37" s="124"/>
      <c r="G37" s="49"/>
    </row>
    <row r="38" spans="2:7" ht="12.75" customHeight="1" x14ac:dyDescent="0.2">
      <c r="B38" s="152" t="s">
        <v>17</v>
      </c>
      <c r="C38" s="126" t="s">
        <v>273</v>
      </c>
      <c r="D38" s="130" t="s">
        <v>244</v>
      </c>
      <c r="E38" s="126" t="s">
        <v>277</v>
      </c>
      <c r="F38" s="125" t="s">
        <v>275</v>
      </c>
      <c r="G38" s="114" t="s">
        <v>271</v>
      </c>
    </row>
    <row r="39" spans="2:7" x14ac:dyDescent="0.2">
      <c r="B39" s="153"/>
      <c r="C39" s="131"/>
      <c r="D39" s="131"/>
      <c r="E39" s="127"/>
      <c r="F39" s="123"/>
      <c r="G39" s="98" t="s">
        <v>272</v>
      </c>
    </row>
    <row r="40" spans="2:7" x14ac:dyDescent="0.2">
      <c r="B40" s="153"/>
      <c r="C40" s="131"/>
      <c r="D40" s="131"/>
      <c r="E40" s="127"/>
      <c r="F40" s="123"/>
      <c r="G40" s="98" t="s">
        <v>274</v>
      </c>
    </row>
    <row r="41" spans="2:7" x14ac:dyDescent="0.2">
      <c r="B41" s="153"/>
      <c r="C41" s="131"/>
      <c r="D41" s="131"/>
      <c r="E41" s="127"/>
      <c r="F41" s="123"/>
      <c r="G41" s="98" t="s">
        <v>278</v>
      </c>
    </row>
    <row r="42" spans="2:7" x14ac:dyDescent="0.2">
      <c r="B42" s="153"/>
      <c r="C42" s="131"/>
      <c r="D42" s="131"/>
      <c r="E42" s="127"/>
      <c r="F42" s="123"/>
      <c r="G42" s="98" t="s">
        <v>280</v>
      </c>
    </row>
    <row r="43" spans="2:7" x14ac:dyDescent="0.2">
      <c r="B43" s="153"/>
      <c r="C43" s="131"/>
      <c r="D43" s="131"/>
      <c r="E43" s="127"/>
      <c r="F43" s="123"/>
      <c r="G43" s="98" t="s">
        <v>287</v>
      </c>
    </row>
    <row r="44" spans="2:7" x14ac:dyDescent="0.2">
      <c r="B44" s="153"/>
      <c r="C44" s="132"/>
      <c r="D44" s="132"/>
      <c r="E44" s="128"/>
      <c r="F44" s="123"/>
      <c r="G44" s="47"/>
    </row>
    <row r="45" spans="2:7" x14ac:dyDescent="0.2">
      <c r="B45" s="153"/>
      <c r="C45" s="132"/>
      <c r="D45" s="132"/>
      <c r="E45" s="128"/>
      <c r="F45" s="123"/>
      <c r="G45" s="47"/>
    </row>
    <row r="46" spans="2:7" x14ac:dyDescent="0.2">
      <c r="B46" s="153"/>
      <c r="C46" s="132"/>
      <c r="D46" s="132"/>
      <c r="E46" s="128"/>
      <c r="F46" s="123"/>
      <c r="G46" s="47"/>
    </row>
    <row r="47" spans="2:7" ht="13.5" thickBot="1" x14ac:dyDescent="0.25">
      <c r="B47" s="154"/>
      <c r="C47" s="133"/>
      <c r="D47" s="133"/>
      <c r="E47" s="129"/>
      <c r="F47" s="124"/>
      <c r="G47" s="49"/>
    </row>
    <row r="48" spans="2:7" x14ac:dyDescent="0.2">
      <c r="B48" s="141" t="s">
        <v>18</v>
      </c>
      <c r="C48" s="126" t="s">
        <v>281</v>
      </c>
      <c r="D48" s="130" t="s">
        <v>242</v>
      </c>
      <c r="E48" s="126" t="s">
        <v>282</v>
      </c>
      <c r="F48" s="125" t="s">
        <v>283</v>
      </c>
      <c r="G48" s="99" t="s">
        <v>284</v>
      </c>
    </row>
    <row r="49" spans="2:7" x14ac:dyDescent="0.2">
      <c r="B49" s="142"/>
      <c r="C49" s="131"/>
      <c r="D49" s="131"/>
      <c r="E49" s="127"/>
      <c r="F49" s="123"/>
      <c r="G49" s="47"/>
    </row>
    <row r="50" spans="2:7" x14ac:dyDescent="0.2">
      <c r="B50" s="142"/>
      <c r="C50" s="131"/>
      <c r="D50" s="131"/>
      <c r="E50" s="127"/>
      <c r="F50" s="123"/>
      <c r="G50" s="47"/>
    </row>
    <row r="51" spans="2:7" x14ac:dyDescent="0.2">
      <c r="B51" s="142"/>
      <c r="C51" s="131"/>
      <c r="D51" s="131"/>
      <c r="E51" s="127"/>
      <c r="F51" s="123"/>
      <c r="G51" s="48"/>
    </row>
    <row r="52" spans="2:7" x14ac:dyDescent="0.2">
      <c r="B52" s="142"/>
      <c r="C52" s="131"/>
      <c r="D52" s="131"/>
      <c r="E52" s="127"/>
      <c r="F52" s="123"/>
      <c r="G52" s="48"/>
    </row>
    <row r="53" spans="2:7" x14ac:dyDescent="0.2">
      <c r="B53" s="142"/>
      <c r="C53" s="131"/>
      <c r="D53" s="131"/>
      <c r="E53" s="127"/>
      <c r="F53" s="123"/>
      <c r="G53" s="48"/>
    </row>
    <row r="54" spans="2:7" x14ac:dyDescent="0.2">
      <c r="B54" s="142"/>
      <c r="C54" s="132"/>
      <c r="D54" s="132"/>
      <c r="E54" s="128"/>
      <c r="F54" s="123"/>
      <c r="G54" s="48"/>
    </row>
    <row r="55" spans="2:7" x14ac:dyDescent="0.2">
      <c r="B55" s="142"/>
      <c r="C55" s="132"/>
      <c r="D55" s="132"/>
      <c r="E55" s="128"/>
      <c r="F55" s="123"/>
      <c r="G55" s="48"/>
    </row>
    <row r="56" spans="2:7" x14ac:dyDescent="0.2">
      <c r="B56" s="142"/>
      <c r="C56" s="132"/>
      <c r="D56" s="132"/>
      <c r="E56" s="128"/>
      <c r="F56" s="123"/>
      <c r="G56" s="48"/>
    </row>
    <row r="57" spans="2:7" ht="13.5" thickBot="1" x14ac:dyDescent="0.25">
      <c r="B57" s="143"/>
      <c r="C57" s="133"/>
      <c r="D57" s="133"/>
      <c r="E57" s="129"/>
      <c r="F57" s="124"/>
      <c r="G57" s="49"/>
    </row>
    <row r="58" spans="2:7" x14ac:dyDescent="0.2">
      <c r="B58" s="141" t="s">
        <v>19</v>
      </c>
      <c r="C58" s="126"/>
      <c r="D58" s="130"/>
      <c r="E58" s="126"/>
      <c r="F58" s="125"/>
      <c r="G58" s="114"/>
    </row>
    <row r="59" spans="2:7" x14ac:dyDescent="0.2">
      <c r="B59" s="142"/>
      <c r="C59" s="131"/>
      <c r="D59" s="131"/>
      <c r="E59" s="127"/>
      <c r="F59" s="123"/>
      <c r="G59" s="98"/>
    </row>
    <row r="60" spans="2:7" x14ac:dyDescent="0.2">
      <c r="B60" s="142"/>
      <c r="C60" s="131"/>
      <c r="D60" s="131"/>
      <c r="E60" s="127"/>
      <c r="F60" s="123"/>
      <c r="G60" s="98"/>
    </row>
    <row r="61" spans="2:7" x14ac:dyDescent="0.2">
      <c r="B61" s="142"/>
      <c r="C61" s="131"/>
      <c r="D61" s="131"/>
      <c r="E61" s="127"/>
      <c r="F61" s="123"/>
      <c r="G61" s="98"/>
    </row>
    <row r="62" spans="2:7" x14ac:dyDescent="0.2">
      <c r="B62" s="142"/>
      <c r="C62" s="131"/>
      <c r="D62" s="131"/>
      <c r="E62" s="127"/>
      <c r="F62" s="123"/>
      <c r="G62" s="98"/>
    </row>
    <row r="63" spans="2:7" x14ac:dyDescent="0.2">
      <c r="B63" s="142"/>
      <c r="C63" s="131"/>
      <c r="D63" s="131"/>
      <c r="E63" s="127"/>
      <c r="F63" s="123"/>
      <c r="G63" s="98"/>
    </row>
    <row r="64" spans="2:7" x14ac:dyDescent="0.2">
      <c r="B64" s="142"/>
      <c r="C64" s="132"/>
      <c r="D64" s="132"/>
      <c r="E64" s="128"/>
      <c r="F64" s="123"/>
      <c r="G64" s="47"/>
    </row>
    <row r="65" spans="2:7" x14ac:dyDescent="0.2">
      <c r="B65" s="142"/>
      <c r="C65" s="132"/>
      <c r="D65" s="132"/>
      <c r="E65" s="128"/>
      <c r="F65" s="123"/>
      <c r="G65" s="47"/>
    </row>
    <row r="66" spans="2:7" x14ac:dyDescent="0.2">
      <c r="B66" s="142"/>
      <c r="C66" s="132"/>
      <c r="D66" s="132"/>
      <c r="E66" s="128"/>
      <c r="F66" s="123"/>
      <c r="G66" s="47"/>
    </row>
    <row r="67" spans="2:7" ht="13.5" thickBot="1" x14ac:dyDescent="0.25">
      <c r="B67" s="143"/>
      <c r="C67" s="133"/>
      <c r="D67" s="133"/>
      <c r="E67" s="129"/>
      <c r="F67" s="124"/>
      <c r="G67" s="49"/>
    </row>
    <row r="68" spans="2:7" x14ac:dyDescent="0.2">
      <c r="B68" s="138" t="s">
        <v>20</v>
      </c>
      <c r="C68" s="126"/>
      <c r="D68" s="130"/>
      <c r="E68" s="126"/>
      <c r="F68" s="125"/>
      <c r="G68" s="99"/>
    </row>
    <row r="69" spans="2:7" x14ac:dyDescent="0.2">
      <c r="B69" s="135"/>
      <c r="C69" s="131"/>
      <c r="D69" s="131"/>
      <c r="E69" s="127"/>
      <c r="F69" s="123"/>
      <c r="G69" s="47"/>
    </row>
    <row r="70" spans="2:7" x14ac:dyDescent="0.2">
      <c r="B70" s="135"/>
      <c r="C70" s="131"/>
      <c r="D70" s="131"/>
      <c r="E70" s="127"/>
      <c r="F70" s="123"/>
      <c r="G70" s="47"/>
    </row>
    <row r="71" spans="2:7" x14ac:dyDescent="0.2">
      <c r="B71" s="136"/>
      <c r="C71" s="131"/>
      <c r="D71" s="131"/>
      <c r="E71" s="127"/>
      <c r="F71" s="123"/>
      <c r="G71" s="48"/>
    </row>
    <row r="72" spans="2:7" x14ac:dyDescent="0.2">
      <c r="B72" s="136"/>
      <c r="C72" s="131"/>
      <c r="D72" s="131"/>
      <c r="E72" s="127"/>
      <c r="F72" s="123"/>
      <c r="G72" s="48"/>
    </row>
    <row r="73" spans="2:7" x14ac:dyDescent="0.2">
      <c r="B73" s="136"/>
      <c r="C73" s="131"/>
      <c r="D73" s="131"/>
      <c r="E73" s="127"/>
      <c r="F73" s="123"/>
      <c r="G73" s="48"/>
    </row>
    <row r="74" spans="2:7" x14ac:dyDescent="0.2">
      <c r="B74" s="136"/>
      <c r="C74" s="132"/>
      <c r="D74" s="132"/>
      <c r="E74" s="128"/>
      <c r="F74" s="123"/>
      <c r="G74" s="48"/>
    </row>
    <row r="75" spans="2:7" x14ac:dyDescent="0.2">
      <c r="B75" s="136"/>
      <c r="C75" s="132"/>
      <c r="D75" s="132"/>
      <c r="E75" s="128"/>
      <c r="F75" s="123"/>
      <c r="G75" s="48"/>
    </row>
    <row r="76" spans="2:7" x14ac:dyDescent="0.2">
      <c r="B76" s="136"/>
      <c r="C76" s="132"/>
      <c r="D76" s="132"/>
      <c r="E76" s="128"/>
      <c r="F76" s="123"/>
      <c r="G76" s="48"/>
    </row>
    <row r="77" spans="2:7" ht="13.5" thickBot="1" x14ac:dyDescent="0.25">
      <c r="B77" s="137"/>
      <c r="C77" s="133"/>
      <c r="D77" s="133"/>
      <c r="E77" s="129"/>
      <c r="F77" s="124"/>
      <c r="G77" s="49"/>
    </row>
    <row r="78" spans="2:7" x14ac:dyDescent="0.2">
      <c r="B78" s="134" t="s">
        <v>21</v>
      </c>
      <c r="C78" s="126"/>
      <c r="D78" s="130"/>
      <c r="E78" s="126"/>
      <c r="F78" s="125"/>
      <c r="G78" s="99"/>
    </row>
    <row r="79" spans="2:7" x14ac:dyDescent="0.2">
      <c r="B79" s="135"/>
      <c r="C79" s="131"/>
      <c r="D79" s="131"/>
      <c r="E79" s="127"/>
      <c r="F79" s="123"/>
      <c r="G79" s="47"/>
    </row>
    <row r="80" spans="2:7" x14ac:dyDescent="0.2">
      <c r="B80" s="135"/>
      <c r="C80" s="131"/>
      <c r="D80" s="131"/>
      <c r="E80" s="127"/>
      <c r="F80" s="123"/>
      <c r="G80" s="47"/>
    </row>
    <row r="81" spans="2:7" x14ac:dyDescent="0.2">
      <c r="B81" s="135"/>
      <c r="C81" s="131"/>
      <c r="D81" s="131"/>
      <c r="E81" s="127"/>
      <c r="F81" s="123"/>
      <c r="G81" s="47"/>
    </row>
    <row r="82" spans="2:7" x14ac:dyDescent="0.2">
      <c r="B82" s="135"/>
      <c r="C82" s="131"/>
      <c r="D82" s="131"/>
      <c r="E82" s="127"/>
      <c r="F82" s="123"/>
      <c r="G82" s="47"/>
    </row>
    <row r="83" spans="2:7" x14ac:dyDescent="0.2">
      <c r="B83" s="135"/>
      <c r="C83" s="131"/>
      <c r="D83" s="131"/>
      <c r="E83" s="127"/>
      <c r="F83" s="123"/>
      <c r="G83" s="47"/>
    </row>
    <row r="84" spans="2:7" x14ac:dyDescent="0.2">
      <c r="B84" s="135"/>
      <c r="C84" s="132"/>
      <c r="D84" s="132"/>
      <c r="E84" s="128"/>
      <c r="F84" s="123"/>
      <c r="G84" s="47"/>
    </row>
    <row r="85" spans="2:7" x14ac:dyDescent="0.2">
      <c r="B85" s="136"/>
      <c r="C85" s="132"/>
      <c r="D85" s="132"/>
      <c r="E85" s="128"/>
      <c r="F85" s="123"/>
      <c r="G85" s="48"/>
    </row>
    <row r="86" spans="2:7" x14ac:dyDescent="0.2">
      <c r="B86" s="136"/>
      <c r="C86" s="132"/>
      <c r="D86" s="132"/>
      <c r="E86" s="128"/>
      <c r="F86" s="123"/>
      <c r="G86" s="48"/>
    </row>
    <row r="87" spans="2:7" ht="13.5" thickBot="1" x14ac:dyDescent="0.25">
      <c r="B87" s="137"/>
      <c r="C87" s="133"/>
      <c r="D87" s="133"/>
      <c r="E87" s="129"/>
      <c r="F87" s="124"/>
      <c r="G87" s="48"/>
    </row>
    <row r="88" spans="2:7" x14ac:dyDescent="0.2">
      <c r="B88" s="134" t="s">
        <v>22</v>
      </c>
      <c r="C88" s="126"/>
      <c r="D88" s="130"/>
      <c r="E88" s="126"/>
      <c r="F88" s="123"/>
      <c r="G88" s="50"/>
    </row>
    <row r="89" spans="2:7" x14ac:dyDescent="0.2">
      <c r="B89" s="138"/>
      <c r="C89" s="131"/>
      <c r="D89" s="131"/>
      <c r="E89" s="127"/>
      <c r="F89" s="123"/>
      <c r="G89" s="46"/>
    </row>
    <row r="90" spans="2:7" x14ac:dyDescent="0.2">
      <c r="B90" s="138"/>
      <c r="C90" s="131"/>
      <c r="D90" s="131"/>
      <c r="E90" s="127"/>
      <c r="F90" s="123"/>
      <c r="G90" s="46"/>
    </row>
    <row r="91" spans="2:7" x14ac:dyDescent="0.2">
      <c r="B91" s="135"/>
      <c r="C91" s="131"/>
      <c r="D91" s="131"/>
      <c r="E91" s="127"/>
      <c r="F91" s="123"/>
      <c r="G91" s="47"/>
    </row>
    <row r="92" spans="2:7" x14ac:dyDescent="0.2">
      <c r="B92" s="135"/>
      <c r="C92" s="131"/>
      <c r="D92" s="131"/>
      <c r="E92" s="127"/>
      <c r="F92" s="123"/>
      <c r="G92" s="47"/>
    </row>
    <row r="93" spans="2:7" x14ac:dyDescent="0.2">
      <c r="B93" s="135"/>
      <c r="C93" s="131"/>
      <c r="D93" s="131"/>
      <c r="E93" s="127"/>
      <c r="F93" s="123"/>
      <c r="G93" s="47"/>
    </row>
    <row r="94" spans="2:7" x14ac:dyDescent="0.2">
      <c r="B94" s="135"/>
      <c r="C94" s="132"/>
      <c r="D94" s="132"/>
      <c r="E94" s="128"/>
      <c r="F94" s="123"/>
      <c r="G94" s="47"/>
    </row>
    <row r="95" spans="2:7" x14ac:dyDescent="0.2">
      <c r="B95" s="136"/>
      <c r="C95" s="132"/>
      <c r="D95" s="132"/>
      <c r="E95" s="128"/>
      <c r="F95" s="123"/>
      <c r="G95" s="48"/>
    </row>
    <row r="96" spans="2:7" x14ac:dyDescent="0.2">
      <c r="B96" s="136"/>
      <c r="C96" s="132"/>
      <c r="D96" s="132"/>
      <c r="E96" s="128"/>
      <c r="F96" s="123"/>
      <c r="G96" s="48"/>
    </row>
    <row r="97" spans="2:7" ht="13.5" thickBot="1" x14ac:dyDescent="0.25">
      <c r="B97" s="137"/>
      <c r="C97" s="133"/>
      <c r="D97" s="133"/>
      <c r="E97" s="129"/>
      <c r="F97" s="124"/>
      <c r="G97" s="49"/>
    </row>
    <row r="98" spans="2:7" x14ac:dyDescent="0.2">
      <c r="B98" s="140" t="s">
        <v>4</v>
      </c>
      <c r="C98" s="126"/>
      <c r="D98" s="130"/>
      <c r="E98" s="126"/>
      <c r="F98" s="123"/>
      <c r="G98" s="99"/>
    </row>
    <row r="99" spans="2:7" x14ac:dyDescent="0.2">
      <c r="B99" s="138"/>
      <c r="C99" s="131"/>
      <c r="D99" s="131"/>
      <c r="E99" s="127"/>
      <c r="F99" s="123"/>
      <c r="G99" s="46"/>
    </row>
    <row r="100" spans="2:7" x14ac:dyDescent="0.2">
      <c r="B100" s="138"/>
      <c r="C100" s="131"/>
      <c r="D100" s="131"/>
      <c r="E100" s="127"/>
      <c r="F100" s="123"/>
      <c r="G100" s="46"/>
    </row>
    <row r="101" spans="2:7" x14ac:dyDescent="0.2">
      <c r="B101" s="138"/>
      <c r="C101" s="131"/>
      <c r="D101" s="131"/>
      <c r="E101" s="127"/>
      <c r="F101" s="123"/>
      <c r="G101" s="46"/>
    </row>
    <row r="102" spans="2:7" x14ac:dyDescent="0.2">
      <c r="B102" s="138"/>
      <c r="C102" s="131"/>
      <c r="D102" s="131"/>
      <c r="E102" s="127"/>
      <c r="F102" s="123"/>
      <c r="G102" s="46"/>
    </row>
    <row r="103" spans="2:7" x14ac:dyDescent="0.2">
      <c r="B103" s="135"/>
      <c r="C103" s="131"/>
      <c r="D103" s="131"/>
      <c r="E103" s="127"/>
      <c r="F103" s="123"/>
      <c r="G103" s="47"/>
    </row>
    <row r="104" spans="2:7" x14ac:dyDescent="0.2">
      <c r="B104" s="135"/>
      <c r="C104" s="132"/>
      <c r="D104" s="132"/>
      <c r="E104" s="128"/>
      <c r="F104" s="123"/>
      <c r="G104" s="47"/>
    </row>
    <row r="105" spans="2:7" x14ac:dyDescent="0.2">
      <c r="B105" s="135"/>
      <c r="C105" s="132"/>
      <c r="D105" s="132"/>
      <c r="E105" s="128"/>
      <c r="F105" s="123"/>
      <c r="G105" s="47"/>
    </row>
    <row r="106" spans="2:7" x14ac:dyDescent="0.2">
      <c r="B106" s="135"/>
      <c r="C106" s="132"/>
      <c r="D106" s="132"/>
      <c r="E106" s="128"/>
      <c r="F106" s="123"/>
      <c r="G106" s="47"/>
    </row>
    <row r="107" spans="2:7" ht="13.5" thickBot="1" x14ac:dyDescent="0.25">
      <c r="B107" s="137"/>
      <c r="C107" s="133"/>
      <c r="D107" s="133"/>
      <c r="E107" s="129"/>
      <c r="F107" s="124"/>
      <c r="G107" s="49"/>
    </row>
    <row r="108" spans="2:7" hidden="1" x14ac:dyDescent="0.2">
      <c r="B108" s="138" t="s">
        <v>5</v>
      </c>
      <c r="C108" s="130"/>
      <c r="D108" s="130"/>
      <c r="E108" s="139"/>
      <c r="F108" s="123"/>
      <c r="G108" s="46"/>
    </row>
    <row r="109" spans="2:7" hidden="1" x14ac:dyDescent="0.2">
      <c r="B109" s="135"/>
      <c r="C109" s="131"/>
      <c r="D109" s="131"/>
      <c r="E109" s="127"/>
      <c r="F109" s="123"/>
      <c r="G109" s="47"/>
    </row>
    <row r="110" spans="2:7" hidden="1" x14ac:dyDescent="0.2">
      <c r="B110" s="135"/>
      <c r="C110" s="131"/>
      <c r="D110" s="131"/>
      <c r="E110" s="127"/>
      <c r="F110" s="123"/>
      <c r="G110" s="47"/>
    </row>
    <row r="111" spans="2:7" hidden="1" x14ac:dyDescent="0.2">
      <c r="B111" s="135"/>
      <c r="C111" s="131"/>
      <c r="D111" s="131"/>
      <c r="E111" s="127"/>
      <c r="F111" s="123"/>
      <c r="G111" s="47"/>
    </row>
    <row r="112" spans="2:7" hidden="1" x14ac:dyDescent="0.2">
      <c r="B112" s="135"/>
      <c r="C112" s="131"/>
      <c r="D112" s="131"/>
      <c r="E112" s="127"/>
      <c r="F112" s="123"/>
      <c r="G112" s="47"/>
    </row>
    <row r="113" spans="2:7" hidden="1" x14ac:dyDescent="0.2">
      <c r="B113" s="135"/>
      <c r="C113" s="131"/>
      <c r="D113" s="131"/>
      <c r="E113" s="127"/>
      <c r="F113" s="123"/>
      <c r="G113" s="47"/>
    </row>
    <row r="114" spans="2:7" hidden="1" x14ac:dyDescent="0.2">
      <c r="B114" s="135"/>
      <c r="C114" s="132"/>
      <c r="D114" s="132"/>
      <c r="E114" s="128"/>
      <c r="F114" s="123"/>
      <c r="G114" s="47"/>
    </row>
    <row r="115" spans="2:7" hidden="1" x14ac:dyDescent="0.2">
      <c r="B115" s="135"/>
      <c r="C115" s="132"/>
      <c r="D115" s="132"/>
      <c r="E115" s="128"/>
      <c r="F115" s="123"/>
      <c r="G115" s="47"/>
    </row>
    <row r="116" spans="2:7" hidden="1" x14ac:dyDescent="0.2">
      <c r="B116" s="136"/>
      <c r="C116" s="132"/>
      <c r="D116" s="132"/>
      <c r="E116" s="128"/>
      <c r="F116" s="123"/>
      <c r="G116" s="48"/>
    </row>
    <row r="117" spans="2:7" ht="13.5" hidden="1" thickBot="1" x14ac:dyDescent="0.25">
      <c r="B117" s="136"/>
      <c r="C117" s="133"/>
      <c r="D117" s="133"/>
      <c r="E117" s="129"/>
      <c r="F117" s="124"/>
      <c r="G117" s="49"/>
    </row>
    <row r="118" spans="2:7" hidden="1" x14ac:dyDescent="0.2">
      <c r="B118" s="134" t="s">
        <v>6</v>
      </c>
      <c r="C118" s="130"/>
      <c r="D118" s="130"/>
      <c r="E118" s="139"/>
      <c r="F118" s="123"/>
      <c r="G118" s="46"/>
    </row>
    <row r="119" spans="2:7" hidden="1" x14ac:dyDescent="0.2">
      <c r="B119" s="138"/>
      <c r="C119" s="131"/>
      <c r="D119" s="131"/>
      <c r="E119" s="127"/>
      <c r="F119" s="123"/>
      <c r="G119" s="46"/>
    </row>
    <row r="120" spans="2:7" hidden="1" x14ac:dyDescent="0.2">
      <c r="B120" s="135"/>
      <c r="C120" s="131"/>
      <c r="D120" s="131"/>
      <c r="E120" s="127"/>
      <c r="F120" s="123"/>
      <c r="G120" s="47"/>
    </row>
    <row r="121" spans="2:7" hidden="1" x14ac:dyDescent="0.2">
      <c r="B121" s="135"/>
      <c r="C121" s="131"/>
      <c r="D121" s="131"/>
      <c r="E121" s="127"/>
      <c r="F121" s="123"/>
      <c r="G121" s="47"/>
    </row>
    <row r="122" spans="2:7" hidden="1" x14ac:dyDescent="0.2">
      <c r="B122" s="135"/>
      <c r="C122" s="131"/>
      <c r="D122" s="131"/>
      <c r="E122" s="127"/>
      <c r="F122" s="123"/>
      <c r="G122" s="47"/>
    </row>
    <row r="123" spans="2:7" hidden="1" x14ac:dyDescent="0.2">
      <c r="B123" s="135"/>
      <c r="C123" s="131"/>
      <c r="D123" s="131"/>
      <c r="E123" s="127"/>
      <c r="F123" s="123"/>
      <c r="G123" s="47"/>
    </row>
    <row r="124" spans="2:7" hidden="1" x14ac:dyDescent="0.2">
      <c r="B124" s="135"/>
      <c r="C124" s="132"/>
      <c r="D124" s="132"/>
      <c r="E124" s="128"/>
      <c r="F124" s="123"/>
      <c r="G124" s="47"/>
    </row>
    <row r="125" spans="2:7" hidden="1" x14ac:dyDescent="0.2">
      <c r="B125" s="136"/>
      <c r="C125" s="132"/>
      <c r="D125" s="132"/>
      <c r="E125" s="128"/>
      <c r="F125" s="123"/>
      <c r="G125" s="48"/>
    </row>
    <row r="126" spans="2:7" hidden="1" x14ac:dyDescent="0.2">
      <c r="B126" s="136"/>
      <c r="C126" s="132"/>
      <c r="D126" s="132"/>
      <c r="E126" s="128"/>
      <c r="F126" s="123"/>
      <c r="G126" s="48"/>
    </row>
    <row r="127" spans="2:7" ht="13.5" hidden="1" thickBot="1" x14ac:dyDescent="0.25">
      <c r="B127" s="137"/>
      <c r="C127" s="133"/>
      <c r="D127" s="133"/>
      <c r="E127" s="129"/>
      <c r="F127" s="124"/>
      <c r="G127" s="49"/>
    </row>
    <row r="128" spans="2:7" hidden="1" x14ac:dyDescent="0.2">
      <c r="B128" s="134" t="s">
        <v>7</v>
      </c>
      <c r="C128" s="130"/>
      <c r="D128" s="130"/>
      <c r="E128" s="139"/>
      <c r="F128" s="123"/>
      <c r="G128" s="50"/>
    </row>
    <row r="129" spans="2:7" hidden="1" x14ac:dyDescent="0.2">
      <c r="B129" s="138"/>
      <c r="C129" s="131"/>
      <c r="D129" s="131"/>
      <c r="E129" s="127"/>
      <c r="F129" s="123"/>
      <c r="G129" s="46"/>
    </row>
    <row r="130" spans="2:7" hidden="1" x14ac:dyDescent="0.2">
      <c r="B130" s="138"/>
      <c r="C130" s="131"/>
      <c r="D130" s="131"/>
      <c r="E130" s="127"/>
      <c r="F130" s="123"/>
      <c r="G130" s="46"/>
    </row>
    <row r="131" spans="2:7" hidden="1" x14ac:dyDescent="0.2">
      <c r="B131" s="138"/>
      <c r="C131" s="131"/>
      <c r="D131" s="131"/>
      <c r="E131" s="127"/>
      <c r="F131" s="123"/>
      <c r="G131" s="46"/>
    </row>
    <row r="132" spans="2:7" hidden="1" x14ac:dyDescent="0.2">
      <c r="B132" s="135"/>
      <c r="C132" s="131"/>
      <c r="D132" s="131"/>
      <c r="E132" s="127"/>
      <c r="F132" s="123"/>
      <c r="G132" s="47"/>
    </row>
    <row r="133" spans="2:7" hidden="1" x14ac:dyDescent="0.2">
      <c r="B133" s="135"/>
      <c r="C133" s="131"/>
      <c r="D133" s="131"/>
      <c r="E133" s="127"/>
      <c r="F133" s="123"/>
      <c r="G133" s="47"/>
    </row>
    <row r="134" spans="2:7" hidden="1" x14ac:dyDescent="0.2">
      <c r="B134" s="135"/>
      <c r="C134" s="132"/>
      <c r="D134" s="132"/>
      <c r="E134" s="128"/>
      <c r="F134" s="123"/>
      <c r="G134" s="47"/>
    </row>
    <row r="135" spans="2:7" hidden="1" x14ac:dyDescent="0.2">
      <c r="B135" s="135"/>
      <c r="C135" s="132"/>
      <c r="D135" s="132"/>
      <c r="E135" s="128"/>
      <c r="F135" s="123"/>
      <c r="G135" s="47"/>
    </row>
    <row r="136" spans="2:7" hidden="1" x14ac:dyDescent="0.2">
      <c r="B136" s="135"/>
      <c r="C136" s="132"/>
      <c r="D136" s="132"/>
      <c r="E136" s="128"/>
      <c r="F136" s="123"/>
      <c r="G136" s="47"/>
    </row>
    <row r="137" spans="2:7" ht="13.5" hidden="1" thickBot="1" x14ac:dyDescent="0.25">
      <c r="B137" s="137"/>
      <c r="C137" s="133"/>
      <c r="D137" s="133"/>
      <c r="E137" s="129"/>
      <c r="F137" s="124"/>
      <c r="G137" s="49"/>
    </row>
    <row r="138" spans="2:7" hidden="1" x14ac:dyDescent="0.2">
      <c r="B138" s="134" t="s">
        <v>8</v>
      </c>
      <c r="C138" s="130"/>
      <c r="D138" s="130"/>
      <c r="E138" s="139"/>
      <c r="F138" s="123"/>
      <c r="G138" s="50"/>
    </row>
    <row r="139" spans="2:7" hidden="1" x14ac:dyDescent="0.2">
      <c r="B139" s="135"/>
      <c r="C139" s="131"/>
      <c r="D139" s="131"/>
      <c r="E139" s="127"/>
      <c r="F139" s="123"/>
      <c r="G139" s="47"/>
    </row>
    <row r="140" spans="2:7" hidden="1" x14ac:dyDescent="0.2">
      <c r="B140" s="135"/>
      <c r="C140" s="131"/>
      <c r="D140" s="131"/>
      <c r="E140" s="127"/>
      <c r="F140" s="123"/>
      <c r="G140" s="47"/>
    </row>
    <row r="141" spans="2:7" hidden="1" x14ac:dyDescent="0.2">
      <c r="B141" s="135"/>
      <c r="C141" s="131"/>
      <c r="D141" s="131"/>
      <c r="E141" s="127"/>
      <c r="F141" s="123"/>
      <c r="G141" s="47"/>
    </row>
    <row r="142" spans="2:7" hidden="1" x14ac:dyDescent="0.2">
      <c r="B142" s="135"/>
      <c r="C142" s="131"/>
      <c r="D142" s="131"/>
      <c r="E142" s="127"/>
      <c r="F142" s="123"/>
      <c r="G142" s="47"/>
    </row>
    <row r="143" spans="2:7" hidden="1" x14ac:dyDescent="0.2">
      <c r="B143" s="135"/>
      <c r="C143" s="131"/>
      <c r="D143" s="131"/>
      <c r="E143" s="127"/>
      <c r="F143" s="123"/>
      <c r="G143" s="47"/>
    </row>
    <row r="144" spans="2:7" hidden="1" x14ac:dyDescent="0.2">
      <c r="B144" s="135"/>
      <c r="C144" s="132"/>
      <c r="D144" s="132"/>
      <c r="E144" s="128"/>
      <c r="F144" s="123"/>
      <c r="G144" s="47"/>
    </row>
    <row r="145" spans="2:7" hidden="1" x14ac:dyDescent="0.2">
      <c r="B145" s="135"/>
      <c r="C145" s="132"/>
      <c r="D145" s="132"/>
      <c r="E145" s="128"/>
      <c r="F145" s="123"/>
      <c r="G145" s="47"/>
    </row>
    <row r="146" spans="2:7" hidden="1" x14ac:dyDescent="0.2">
      <c r="B146" s="136"/>
      <c r="C146" s="132"/>
      <c r="D146" s="132"/>
      <c r="E146" s="128"/>
      <c r="F146" s="123"/>
      <c r="G146" s="48"/>
    </row>
    <row r="147" spans="2:7" ht="13.5" hidden="1" thickBot="1" x14ac:dyDescent="0.25">
      <c r="B147" s="137"/>
      <c r="C147" s="133"/>
      <c r="D147" s="133"/>
      <c r="E147" s="129"/>
      <c r="F147" s="124"/>
      <c r="G147" s="49"/>
    </row>
    <row r="148" spans="2:7" hidden="1" x14ac:dyDescent="0.2">
      <c r="B148" s="138" t="s">
        <v>9</v>
      </c>
      <c r="C148" s="130"/>
      <c r="D148" s="130"/>
      <c r="E148" s="139"/>
      <c r="F148" s="123"/>
      <c r="G148" s="46"/>
    </row>
    <row r="149" spans="2:7" hidden="1" x14ac:dyDescent="0.2">
      <c r="B149" s="135"/>
      <c r="C149" s="131"/>
      <c r="D149" s="131"/>
      <c r="E149" s="127"/>
      <c r="F149" s="123"/>
      <c r="G149" s="47"/>
    </row>
    <row r="150" spans="2:7" hidden="1" x14ac:dyDescent="0.2">
      <c r="B150" s="135"/>
      <c r="C150" s="131"/>
      <c r="D150" s="131"/>
      <c r="E150" s="127"/>
      <c r="F150" s="123"/>
      <c r="G150" s="47"/>
    </row>
    <row r="151" spans="2:7" hidden="1" x14ac:dyDescent="0.2">
      <c r="B151" s="135"/>
      <c r="C151" s="131"/>
      <c r="D151" s="131"/>
      <c r="E151" s="127"/>
      <c r="F151" s="123"/>
      <c r="G151" s="47"/>
    </row>
    <row r="152" spans="2:7" hidden="1" x14ac:dyDescent="0.2">
      <c r="B152" s="135"/>
      <c r="C152" s="131"/>
      <c r="D152" s="131"/>
      <c r="E152" s="127"/>
      <c r="F152" s="123"/>
      <c r="G152" s="47"/>
    </row>
    <row r="153" spans="2:7" hidden="1" x14ac:dyDescent="0.2">
      <c r="B153" s="135"/>
      <c r="C153" s="131"/>
      <c r="D153" s="131"/>
      <c r="E153" s="127"/>
      <c r="F153" s="123"/>
      <c r="G153" s="47"/>
    </row>
    <row r="154" spans="2:7" hidden="1" x14ac:dyDescent="0.2">
      <c r="B154" s="135"/>
      <c r="C154" s="132"/>
      <c r="D154" s="132"/>
      <c r="E154" s="128"/>
      <c r="F154" s="123"/>
      <c r="G154" s="47"/>
    </row>
    <row r="155" spans="2:7" hidden="1" x14ac:dyDescent="0.2">
      <c r="B155" s="135"/>
      <c r="C155" s="132"/>
      <c r="D155" s="132"/>
      <c r="E155" s="128"/>
      <c r="F155" s="123"/>
      <c r="G155" s="47"/>
    </row>
    <row r="156" spans="2:7" hidden="1" x14ac:dyDescent="0.2">
      <c r="B156" s="135"/>
      <c r="C156" s="132"/>
      <c r="D156" s="132"/>
      <c r="E156" s="128"/>
      <c r="F156" s="123"/>
      <c r="G156" s="47"/>
    </row>
    <row r="157" spans="2:7" ht="13.5" hidden="1" thickBot="1" x14ac:dyDescent="0.25">
      <c r="B157" s="136"/>
      <c r="C157" s="133"/>
      <c r="D157" s="133"/>
      <c r="E157" s="129"/>
      <c r="F157" s="124"/>
      <c r="G157" s="49"/>
    </row>
    <row r="158" spans="2:7" hidden="1" x14ac:dyDescent="0.2">
      <c r="B158" s="134" t="s">
        <v>10</v>
      </c>
      <c r="C158" s="130"/>
      <c r="D158" s="130"/>
      <c r="E158" s="139"/>
      <c r="F158" s="123"/>
      <c r="G158" s="46"/>
    </row>
    <row r="159" spans="2:7" hidden="1" x14ac:dyDescent="0.2">
      <c r="B159" s="135"/>
      <c r="C159" s="131"/>
      <c r="D159" s="131"/>
      <c r="E159" s="127"/>
      <c r="F159" s="123"/>
      <c r="G159" s="47"/>
    </row>
    <row r="160" spans="2:7" hidden="1" x14ac:dyDescent="0.2">
      <c r="B160" s="135"/>
      <c r="C160" s="131"/>
      <c r="D160" s="131"/>
      <c r="E160" s="127"/>
      <c r="F160" s="123"/>
      <c r="G160" s="47"/>
    </row>
    <row r="161" spans="2:7" hidden="1" x14ac:dyDescent="0.2">
      <c r="B161" s="135"/>
      <c r="C161" s="131"/>
      <c r="D161" s="131"/>
      <c r="E161" s="127"/>
      <c r="F161" s="123"/>
      <c r="G161" s="47"/>
    </row>
    <row r="162" spans="2:7" hidden="1" x14ac:dyDescent="0.2">
      <c r="B162" s="135"/>
      <c r="C162" s="131"/>
      <c r="D162" s="131"/>
      <c r="E162" s="127"/>
      <c r="F162" s="123"/>
      <c r="G162" s="47"/>
    </row>
    <row r="163" spans="2:7" hidden="1" x14ac:dyDescent="0.2">
      <c r="B163" s="135"/>
      <c r="C163" s="131"/>
      <c r="D163" s="131"/>
      <c r="E163" s="127"/>
      <c r="F163" s="123"/>
      <c r="G163" s="47"/>
    </row>
    <row r="164" spans="2:7" hidden="1" x14ac:dyDescent="0.2">
      <c r="B164" s="135"/>
      <c r="C164" s="132"/>
      <c r="D164" s="132"/>
      <c r="E164" s="128"/>
      <c r="F164" s="123"/>
      <c r="G164" s="47"/>
    </row>
    <row r="165" spans="2:7" hidden="1" x14ac:dyDescent="0.2">
      <c r="B165" s="135"/>
      <c r="C165" s="132"/>
      <c r="D165" s="132"/>
      <c r="E165" s="128"/>
      <c r="F165" s="123"/>
      <c r="G165" s="47"/>
    </row>
    <row r="166" spans="2:7" hidden="1" x14ac:dyDescent="0.2">
      <c r="B166" s="135"/>
      <c r="C166" s="132"/>
      <c r="D166" s="132"/>
      <c r="E166" s="128"/>
      <c r="F166" s="123"/>
      <c r="G166" s="47"/>
    </row>
    <row r="167" spans="2:7" ht="13.5" hidden="1" thickBot="1" x14ac:dyDescent="0.25">
      <c r="B167" s="137"/>
      <c r="C167" s="133"/>
      <c r="D167" s="133"/>
      <c r="E167" s="129"/>
      <c r="F167" s="124"/>
      <c r="G167" s="49"/>
    </row>
    <row r="168" spans="2:7" hidden="1" x14ac:dyDescent="0.2">
      <c r="B168" s="134" t="s">
        <v>11</v>
      </c>
      <c r="C168" s="130"/>
      <c r="D168" s="130"/>
      <c r="E168" s="139"/>
      <c r="F168" s="123"/>
      <c r="G168" s="46"/>
    </row>
    <row r="169" spans="2:7" hidden="1" x14ac:dyDescent="0.2">
      <c r="B169" s="135"/>
      <c r="C169" s="131"/>
      <c r="D169" s="131"/>
      <c r="E169" s="127"/>
      <c r="F169" s="123"/>
      <c r="G169" s="47"/>
    </row>
    <row r="170" spans="2:7" hidden="1" x14ac:dyDescent="0.2">
      <c r="B170" s="135"/>
      <c r="C170" s="131"/>
      <c r="D170" s="131"/>
      <c r="E170" s="127"/>
      <c r="F170" s="123"/>
      <c r="G170" s="47"/>
    </row>
    <row r="171" spans="2:7" hidden="1" x14ac:dyDescent="0.2">
      <c r="B171" s="135"/>
      <c r="C171" s="131"/>
      <c r="D171" s="131"/>
      <c r="E171" s="127"/>
      <c r="F171" s="123"/>
      <c r="G171" s="47"/>
    </row>
    <row r="172" spans="2:7" hidden="1" x14ac:dyDescent="0.2">
      <c r="B172" s="135"/>
      <c r="C172" s="131"/>
      <c r="D172" s="131"/>
      <c r="E172" s="127"/>
      <c r="F172" s="123"/>
      <c r="G172" s="47"/>
    </row>
    <row r="173" spans="2:7" hidden="1" x14ac:dyDescent="0.2">
      <c r="B173" s="135"/>
      <c r="C173" s="131"/>
      <c r="D173" s="131"/>
      <c r="E173" s="127"/>
      <c r="F173" s="123"/>
      <c r="G173" s="47"/>
    </row>
    <row r="174" spans="2:7" hidden="1" x14ac:dyDescent="0.2">
      <c r="B174" s="135"/>
      <c r="C174" s="132"/>
      <c r="D174" s="132"/>
      <c r="E174" s="128"/>
      <c r="F174" s="123"/>
      <c r="G174" s="47"/>
    </row>
    <row r="175" spans="2:7" hidden="1" x14ac:dyDescent="0.2">
      <c r="B175" s="135"/>
      <c r="C175" s="132"/>
      <c r="D175" s="132"/>
      <c r="E175" s="128"/>
      <c r="F175" s="123"/>
      <c r="G175" s="47"/>
    </row>
    <row r="176" spans="2:7" hidden="1" x14ac:dyDescent="0.2">
      <c r="B176" s="136"/>
      <c r="C176" s="132"/>
      <c r="D176" s="132"/>
      <c r="E176" s="128"/>
      <c r="F176" s="123"/>
      <c r="G176" s="48"/>
    </row>
    <row r="177" spans="2:7" ht="13.5" hidden="1" thickBot="1" x14ac:dyDescent="0.25">
      <c r="B177" s="137"/>
      <c r="C177" s="133"/>
      <c r="D177" s="133"/>
      <c r="E177" s="129"/>
      <c r="F177" s="124"/>
      <c r="G177" s="49"/>
    </row>
    <row r="178" spans="2:7" hidden="1" x14ac:dyDescent="0.2">
      <c r="B178" s="141" t="s">
        <v>12</v>
      </c>
      <c r="C178" s="130"/>
      <c r="D178" s="130"/>
      <c r="E178" s="139"/>
      <c r="F178" s="123"/>
      <c r="G178" s="46"/>
    </row>
    <row r="179" spans="2:7" hidden="1" x14ac:dyDescent="0.2">
      <c r="B179" s="142"/>
      <c r="C179" s="131"/>
      <c r="D179" s="131"/>
      <c r="E179" s="127"/>
      <c r="F179" s="123"/>
      <c r="G179" s="47"/>
    </row>
    <row r="180" spans="2:7" hidden="1" x14ac:dyDescent="0.2">
      <c r="B180" s="142"/>
      <c r="C180" s="131"/>
      <c r="D180" s="131"/>
      <c r="E180" s="127"/>
      <c r="F180" s="123"/>
      <c r="G180" s="47"/>
    </row>
    <row r="181" spans="2:7" hidden="1" x14ac:dyDescent="0.2">
      <c r="B181" s="142"/>
      <c r="C181" s="131"/>
      <c r="D181" s="131"/>
      <c r="E181" s="127"/>
      <c r="F181" s="123"/>
      <c r="G181" s="47"/>
    </row>
    <row r="182" spans="2:7" hidden="1" x14ac:dyDescent="0.2">
      <c r="B182" s="142"/>
      <c r="C182" s="131"/>
      <c r="D182" s="131"/>
      <c r="E182" s="127"/>
      <c r="F182" s="123"/>
      <c r="G182" s="47"/>
    </row>
    <row r="183" spans="2:7" hidden="1" x14ac:dyDescent="0.2">
      <c r="B183" s="142"/>
      <c r="C183" s="131"/>
      <c r="D183" s="131"/>
      <c r="E183" s="127"/>
      <c r="F183" s="123"/>
      <c r="G183" s="47"/>
    </row>
    <row r="184" spans="2:7" hidden="1" x14ac:dyDescent="0.2">
      <c r="B184" s="142"/>
      <c r="C184" s="132"/>
      <c r="D184" s="132"/>
      <c r="E184" s="128"/>
      <c r="F184" s="123"/>
      <c r="G184" s="47"/>
    </row>
    <row r="185" spans="2:7" hidden="1" x14ac:dyDescent="0.2">
      <c r="B185" s="142"/>
      <c r="C185" s="132"/>
      <c r="D185" s="132"/>
      <c r="E185" s="128"/>
      <c r="F185" s="123"/>
      <c r="G185" s="47"/>
    </row>
    <row r="186" spans="2:7" hidden="1" x14ac:dyDescent="0.2">
      <c r="B186" s="142"/>
      <c r="C186" s="132"/>
      <c r="D186" s="132"/>
      <c r="E186" s="128"/>
      <c r="F186" s="123"/>
      <c r="G186" s="47"/>
    </row>
    <row r="187" spans="2:7" ht="13.5" hidden="1" thickBot="1" x14ac:dyDescent="0.25">
      <c r="B187" s="143"/>
      <c r="C187" s="133"/>
      <c r="D187" s="133"/>
      <c r="E187" s="129"/>
      <c r="F187" s="124"/>
      <c r="G187" s="49"/>
    </row>
    <row r="188" spans="2:7" hidden="1" x14ac:dyDescent="0.2">
      <c r="B188" s="134" t="s">
        <v>13</v>
      </c>
      <c r="C188" s="130"/>
      <c r="D188" s="130"/>
      <c r="E188" s="139"/>
      <c r="F188" s="123"/>
      <c r="G188" s="46"/>
    </row>
    <row r="189" spans="2:7" hidden="1" x14ac:dyDescent="0.2">
      <c r="B189" s="138"/>
      <c r="C189" s="131"/>
      <c r="D189" s="131"/>
      <c r="E189" s="127"/>
      <c r="F189" s="123"/>
      <c r="G189" s="47"/>
    </row>
    <row r="190" spans="2:7" hidden="1" x14ac:dyDescent="0.2">
      <c r="B190" s="138"/>
      <c r="C190" s="131"/>
      <c r="D190" s="131"/>
      <c r="E190" s="127"/>
      <c r="F190" s="123"/>
      <c r="G190" s="47"/>
    </row>
    <row r="191" spans="2:7" hidden="1" x14ac:dyDescent="0.2">
      <c r="B191" s="138"/>
      <c r="C191" s="131"/>
      <c r="D191" s="131"/>
      <c r="E191" s="127"/>
      <c r="F191" s="123"/>
      <c r="G191" s="47"/>
    </row>
    <row r="192" spans="2:7" hidden="1" x14ac:dyDescent="0.2">
      <c r="B192" s="138"/>
      <c r="C192" s="131"/>
      <c r="D192" s="131"/>
      <c r="E192" s="127"/>
      <c r="F192" s="123"/>
      <c r="G192" s="47"/>
    </row>
    <row r="193" spans="1:7" hidden="1" x14ac:dyDescent="0.2">
      <c r="B193" s="135"/>
      <c r="C193" s="131"/>
      <c r="D193" s="131"/>
      <c r="E193" s="127"/>
      <c r="F193" s="123"/>
      <c r="G193" s="47"/>
    </row>
    <row r="194" spans="1:7" hidden="1" x14ac:dyDescent="0.2">
      <c r="B194" s="135"/>
      <c r="C194" s="132"/>
      <c r="D194" s="132"/>
      <c r="E194" s="128"/>
      <c r="F194" s="123"/>
      <c r="G194" s="47"/>
    </row>
    <row r="195" spans="1:7" hidden="1" x14ac:dyDescent="0.2">
      <c r="B195" s="135"/>
      <c r="C195" s="132"/>
      <c r="D195" s="132"/>
      <c r="E195" s="128"/>
      <c r="F195" s="123"/>
      <c r="G195" s="47"/>
    </row>
    <row r="196" spans="1:7" hidden="1" x14ac:dyDescent="0.2">
      <c r="B196" s="135"/>
      <c r="C196" s="132"/>
      <c r="D196" s="132"/>
      <c r="E196" s="128"/>
      <c r="F196" s="123"/>
      <c r="G196" s="47"/>
    </row>
    <row r="197" spans="1:7" ht="13.5" hidden="1" thickBot="1" x14ac:dyDescent="0.25">
      <c r="B197" s="137"/>
      <c r="C197" s="133"/>
      <c r="D197" s="133"/>
      <c r="E197" s="129"/>
      <c r="F197" s="124"/>
      <c r="G197" s="49"/>
    </row>
    <row r="198" spans="1:7" hidden="1" x14ac:dyDescent="0.2">
      <c r="A198" s="53"/>
      <c r="B198" s="138" t="s">
        <v>14</v>
      </c>
      <c r="C198" s="130"/>
      <c r="D198" s="130"/>
      <c r="E198" s="139"/>
      <c r="F198" s="123"/>
      <c r="G198" s="46"/>
    </row>
    <row r="199" spans="1:7" hidden="1" x14ac:dyDescent="0.2">
      <c r="B199" s="135"/>
      <c r="C199" s="131"/>
      <c r="D199" s="131"/>
      <c r="E199" s="127"/>
      <c r="F199" s="123"/>
      <c r="G199" s="47"/>
    </row>
    <row r="200" spans="1:7" hidden="1" x14ac:dyDescent="0.2">
      <c r="B200" s="135"/>
      <c r="C200" s="131"/>
      <c r="D200" s="131"/>
      <c r="E200" s="127"/>
      <c r="F200" s="123"/>
      <c r="G200" s="47"/>
    </row>
    <row r="201" spans="1:7" hidden="1" x14ac:dyDescent="0.2">
      <c r="B201" s="135"/>
      <c r="C201" s="131"/>
      <c r="D201" s="131"/>
      <c r="E201" s="127"/>
      <c r="F201" s="123"/>
      <c r="G201" s="47"/>
    </row>
    <row r="202" spans="1:7" hidden="1" x14ac:dyDescent="0.2">
      <c r="B202" s="135"/>
      <c r="C202" s="131"/>
      <c r="D202" s="131"/>
      <c r="E202" s="127"/>
      <c r="F202" s="123"/>
      <c r="G202" s="47"/>
    </row>
    <row r="203" spans="1:7" hidden="1" x14ac:dyDescent="0.2">
      <c r="B203" s="135"/>
      <c r="C203" s="131"/>
      <c r="D203" s="131"/>
      <c r="E203" s="127"/>
      <c r="F203" s="123"/>
      <c r="G203" s="51"/>
    </row>
    <row r="204" spans="1:7" hidden="1" x14ac:dyDescent="0.2">
      <c r="B204" s="135"/>
      <c r="C204" s="132"/>
      <c r="D204" s="132"/>
      <c r="E204" s="128"/>
      <c r="F204" s="123"/>
      <c r="G204" s="51"/>
    </row>
    <row r="205" spans="1:7" hidden="1" x14ac:dyDescent="0.2">
      <c r="B205" s="135"/>
      <c r="C205" s="132"/>
      <c r="D205" s="132"/>
      <c r="E205" s="128"/>
      <c r="F205" s="123"/>
      <c r="G205" s="51"/>
    </row>
    <row r="206" spans="1:7" hidden="1" x14ac:dyDescent="0.2">
      <c r="B206" s="135"/>
      <c r="C206" s="132"/>
      <c r="D206" s="132"/>
      <c r="E206" s="128"/>
      <c r="F206" s="123"/>
      <c r="G206" s="51"/>
    </row>
    <row r="207" spans="1:7" ht="13.5" hidden="1" thickBot="1" x14ac:dyDescent="0.25">
      <c r="B207" s="136"/>
      <c r="C207" s="133"/>
      <c r="D207" s="133"/>
      <c r="E207" s="129"/>
      <c r="F207" s="124"/>
      <c r="G207" s="52"/>
    </row>
    <row r="215" spans="5:5" x14ac:dyDescent="0.2">
      <c r="E215" s="71"/>
    </row>
  </sheetData>
  <sheetProtection selectLockedCells="1"/>
  <mergeCells count="104">
    <mergeCell ref="D88:D97"/>
    <mergeCell ref="E68:E77"/>
    <mergeCell ref="B2:G2"/>
    <mergeCell ref="B3:G3"/>
    <mergeCell ref="B6:G6"/>
    <mergeCell ref="B8:B17"/>
    <mergeCell ref="E8:E17"/>
    <mergeCell ref="D8:D17"/>
    <mergeCell ref="B28:B37"/>
    <mergeCell ref="B48:B57"/>
    <mergeCell ref="B38:B47"/>
    <mergeCell ref="F28:F37"/>
    <mergeCell ref="F38:F47"/>
    <mergeCell ref="F48:F57"/>
    <mergeCell ref="F8:F17"/>
    <mergeCell ref="C28:C37"/>
    <mergeCell ref="C38:C47"/>
    <mergeCell ref="C48:C57"/>
    <mergeCell ref="B18:B27"/>
    <mergeCell ref="E48:E57"/>
    <mergeCell ref="D18:D27"/>
    <mergeCell ref="D28:D37"/>
    <mergeCell ref="D38:D47"/>
    <mergeCell ref="D48:D57"/>
    <mergeCell ref="E18:E27"/>
    <mergeCell ref="E28:E37"/>
    <mergeCell ref="B188:B197"/>
    <mergeCell ref="B198:B207"/>
    <mergeCell ref="C188:C197"/>
    <mergeCell ref="C178:C187"/>
    <mergeCell ref="B158:B167"/>
    <mergeCell ref="B168:B177"/>
    <mergeCell ref="B178:B187"/>
    <mergeCell ref="C168:C177"/>
    <mergeCell ref="C138:C147"/>
    <mergeCell ref="C148:C157"/>
    <mergeCell ref="E128:E137"/>
    <mergeCell ref="E118:E127"/>
    <mergeCell ref="E108:E117"/>
    <mergeCell ref="E138:E147"/>
    <mergeCell ref="E148:E157"/>
    <mergeCell ref="E78:E87"/>
    <mergeCell ref="E88:E97"/>
    <mergeCell ref="E98:E107"/>
    <mergeCell ref="D68:D77"/>
    <mergeCell ref="D78:D87"/>
    <mergeCell ref="C18:C27"/>
    <mergeCell ref="C68:C77"/>
    <mergeCell ref="C58:C67"/>
    <mergeCell ref="B128:B137"/>
    <mergeCell ref="B68:B77"/>
    <mergeCell ref="B118:B127"/>
    <mergeCell ref="B78:B87"/>
    <mergeCell ref="B88:B97"/>
    <mergeCell ref="B98:B107"/>
    <mergeCell ref="B108:B117"/>
    <mergeCell ref="C108:C117"/>
    <mergeCell ref="C118:C127"/>
    <mergeCell ref="C128:C137"/>
    <mergeCell ref="B58:B67"/>
    <mergeCell ref="C78:C87"/>
    <mergeCell ref="C88:C97"/>
    <mergeCell ref="C98:C107"/>
    <mergeCell ref="F198:F207"/>
    <mergeCell ref="F188:F197"/>
    <mergeCell ref="F178:F187"/>
    <mergeCell ref="F168:F177"/>
    <mergeCell ref="F158:F167"/>
    <mergeCell ref="E198:E207"/>
    <mergeCell ref="D158:D167"/>
    <mergeCell ref="C198:C207"/>
    <mergeCell ref="D188:D197"/>
    <mergeCell ref="D198:D207"/>
    <mergeCell ref="E178:E187"/>
    <mergeCell ref="D178:D187"/>
    <mergeCell ref="D168:D177"/>
    <mergeCell ref="C158:C167"/>
    <mergeCell ref="E188:E197"/>
    <mergeCell ref="E158:E167"/>
    <mergeCell ref="E168:E177"/>
    <mergeCell ref="B4:G4"/>
    <mergeCell ref="F148:F157"/>
    <mergeCell ref="F138:F147"/>
    <mergeCell ref="F128:F137"/>
    <mergeCell ref="F118:F127"/>
    <mergeCell ref="F78:F87"/>
    <mergeCell ref="F88:F97"/>
    <mergeCell ref="F98:F107"/>
    <mergeCell ref="F108:F117"/>
    <mergeCell ref="F58:F67"/>
    <mergeCell ref="E58:E67"/>
    <mergeCell ref="F18:F27"/>
    <mergeCell ref="D138:D147"/>
    <mergeCell ref="D148:D157"/>
    <mergeCell ref="D108:D117"/>
    <mergeCell ref="D118:D127"/>
    <mergeCell ref="D128:D137"/>
    <mergeCell ref="B138:B147"/>
    <mergeCell ref="B148:B157"/>
    <mergeCell ref="F68:F77"/>
    <mergeCell ref="D98:D107"/>
    <mergeCell ref="E38:E47"/>
    <mergeCell ref="D58:D67"/>
    <mergeCell ref="C8:C17"/>
  </mergeCells>
  <phoneticPr fontId="0" type="noConversion"/>
  <dataValidations count="1">
    <dataValidation type="list" allowBlank="1" showInputMessage="1" showErrorMessage="1" sqref="D8:D207">
      <formula1>$I$8:$I$15</formula1>
    </dataValidation>
  </dataValidations>
  <printOptions horizontalCentered="1"/>
  <pageMargins left="0.511811023622047" right="0.511811023622047" top="0.62992125984252001" bottom="0.71" header="0" footer="0.5"/>
  <pageSetup scale="65" orientation="portrait" r:id="rId1"/>
  <headerFooter alignWithMargins="0">
    <oddFooter>&amp;L&amp;"Arial Narrow,Regular"&amp;F&amp;R&amp;"Arial Narrow,Regular"Página  &amp;P  de  &amp;N</oddFooter>
  </headerFooter>
  <rowBreaks count="2" manualBreakCount="2">
    <brk id="77" min="1" max="6" man="1"/>
    <brk id="147" min="1" max="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59999389629810485"/>
  </sheetPr>
  <dimension ref="B1:K57"/>
  <sheetViews>
    <sheetView topLeftCell="D1" zoomScaleSheetLayoutView="100" workbookViewId="0">
      <pane ySplit="14" topLeftCell="A21" activePane="bottomLeft" state="frozen"/>
      <selection pane="bottomLeft" activeCell="G21" sqref="G21"/>
    </sheetView>
  </sheetViews>
  <sheetFormatPr defaultColWidth="11.42578125" defaultRowHeight="12.75" x14ac:dyDescent="0.2"/>
  <cols>
    <col min="1" max="1" width="4.140625" style="73" customWidth="1"/>
    <col min="2" max="2" width="4" style="73" bestFit="1" customWidth="1"/>
    <col min="3" max="3" width="25.28515625" style="73" customWidth="1"/>
    <col min="4" max="4" width="15.85546875" style="73" customWidth="1"/>
    <col min="5" max="5" width="48" style="73" customWidth="1"/>
    <col min="6" max="6" width="8.28515625" style="73" bestFit="1" customWidth="1"/>
    <col min="7" max="7" width="12.42578125" style="73" customWidth="1"/>
    <col min="8" max="8" width="15.5703125" style="73" customWidth="1"/>
    <col min="9" max="9" width="8.7109375" style="73" customWidth="1"/>
    <col min="10" max="10" width="10.140625" style="73" customWidth="1"/>
    <col min="11" max="11" width="6.42578125" style="73" customWidth="1"/>
    <col min="12" max="16384" width="11.42578125" style="73"/>
  </cols>
  <sheetData>
    <row r="1" spans="2:11" s="72" customFormat="1" x14ac:dyDescent="0.2"/>
    <row r="2" spans="2:11" s="72" customFormat="1" ht="34.5" customHeight="1" x14ac:dyDescent="0.2">
      <c r="B2" s="157" t="s">
        <v>237</v>
      </c>
      <c r="C2" s="157"/>
      <c r="D2" s="157"/>
      <c r="E2" s="157"/>
      <c r="F2" s="157"/>
      <c r="G2" s="157"/>
      <c r="H2" s="56"/>
      <c r="I2" s="56"/>
      <c r="J2" s="56"/>
    </row>
    <row r="3" spans="2:11" ht="15.75" customHeight="1" x14ac:dyDescent="0.25">
      <c r="B3" s="156" t="s">
        <v>214</v>
      </c>
      <c r="C3" s="156"/>
      <c r="D3" s="156"/>
      <c r="E3" s="156"/>
      <c r="F3" s="156"/>
      <c r="G3" s="156"/>
      <c r="H3" s="170" t="s">
        <v>215</v>
      </c>
      <c r="I3" s="172" t="s">
        <v>216</v>
      </c>
      <c r="J3" s="173"/>
    </row>
    <row r="4" spans="2:11" ht="17.25" customHeight="1" x14ac:dyDescent="0.2">
      <c r="B4" s="1"/>
      <c r="C4" s="6"/>
      <c r="D4" s="6"/>
      <c r="E4" s="6"/>
      <c r="F4" s="6"/>
      <c r="G4" s="6"/>
      <c r="H4" s="171"/>
      <c r="I4" s="57" t="s">
        <v>1</v>
      </c>
      <c r="J4" s="57" t="s">
        <v>3</v>
      </c>
    </row>
    <row r="5" spans="2:11" x14ac:dyDescent="0.2">
      <c r="B5" s="159"/>
      <c r="C5" s="159"/>
      <c r="D5" s="159"/>
      <c r="E5" s="159"/>
      <c r="F5" s="159"/>
      <c r="G5" s="160"/>
      <c r="H5" s="58">
        <v>9</v>
      </c>
      <c r="I5" s="59">
        <v>3</v>
      </c>
      <c r="J5" s="60" t="s">
        <v>2</v>
      </c>
    </row>
    <row r="6" spans="2:11" x14ac:dyDescent="0.2">
      <c r="B6" s="1"/>
      <c r="C6" s="1"/>
      <c r="D6" s="1"/>
      <c r="E6" s="1"/>
      <c r="F6" s="1"/>
      <c r="G6" s="1"/>
      <c r="H6" s="58">
        <v>6</v>
      </c>
      <c r="I6" s="59">
        <v>3</v>
      </c>
      <c r="J6" s="60" t="s">
        <v>2</v>
      </c>
    </row>
    <row r="7" spans="2:11" x14ac:dyDescent="0.2">
      <c r="B7" s="1"/>
      <c r="C7" s="1"/>
      <c r="D7" s="1"/>
      <c r="E7" s="1"/>
      <c r="F7" s="1"/>
      <c r="G7" s="1"/>
      <c r="H7" s="58">
        <v>4</v>
      </c>
      <c r="I7" s="59">
        <v>2</v>
      </c>
      <c r="J7" s="61" t="s">
        <v>217</v>
      </c>
    </row>
    <row r="8" spans="2:11" x14ac:dyDescent="0.2">
      <c r="B8" s="7"/>
      <c r="C8" s="7"/>
      <c r="D8" s="7"/>
      <c r="E8" s="15"/>
      <c r="F8" s="16"/>
      <c r="G8" s="6"/>
      <c r="H8" s="58">
        <v>3</v>
      </c>
      <c r="I8" s="59">
        <v>2</v>
      </c>
      <c r="J8" s="61" t="s">
        <v>217</v>
      </c>
    </row>
    <row r="9" spans="2:11" x14ac:dyDescent="0.2">
      <c r="B9" s="158"/>
      <c r="C9" s="158"/>
      <c r="D9" s="158"/>
      <c r="E9" s="62"/>
      <c r="F9" s="63"/>
      <c r="G9" s="7"/>
      <c r="H9" s="58">
        <v>2</v>
      </c>
      <c r="I9" s="59">
        <v>1</v>
      </c>
      <c r="J9" s="64" t="s">
        <v>218</v>
      </c>
    </row>
    <row r="10" spans="2:11" x14ac:dyDescent="0.2">
      <c r="B10" s="12"/>
      <c r="C10" s="12"/>
      <c r="D10" s="12"/>
      <c r="E10" s="12"/>
      <c r="F10" s="8"/>
      <c r="G10" s="8"/>
      <c r="H10" s="58">
        <v>1</v>
      </c>
      <c r="I10" s="59">
        <v>1</v>
      </c>
      <c r="J10" s="64" t="s">
        <v>218</v>
      </c>
    </row>
    <row r="11" spans="2:11" ht="13.5" thickBot="1" x14ac:dyDescent="0.25">
      <c r="B11" s="12"/>
      <c r="C11" s="12"/>
      <c r="D11" s="12"/>
      <c r="E11" s="12"/>
      <c r="F11" s="8"/>
      <c r="G11" s="8"/>
      <c r="H11" s="91"/>
      <c r="I11" s="92"/>
      <c r="J11" s="92"/>
    </row>
    <row r="12" spans="2:11" ht="28.5" customHeight="1" thickBot="1" x14ac:dyDescent="0.25">
      <c r="B12" s="163" t="s">
        <v>219</v>
      </c>
      <c r="C12" s="164"/>
      <c r="D12" s="164"/>
      <c r="E12" s="164"/>
      <c r="F12" s="164"/>
      <c r="G12" s="164"/>
      <c r="H12" s="164"/>
      <c r="I12" s="164"/>
      <c r="J12" s="165"/>
    </row>
    <row r="13" spans="2:11" ht="18.75" customHeight="1" x14ac:dyDescent="0.2">
      <c r="B13" s="180" t="s">
        <v>16</v>
      </c>
      <c r="C13" s="178" t="s">
        <v>210</v>
      </c>
      <c r="D13" s="178" t="s">
        <v>211</v>
      </c>
      <c r="E13" s="178" t="s">
        <v>212</v>
      </c>
      <c r="F13" s="161" t="s">
        <v>0</v>
      </c>
      <c r="G13" s="161" t="s">
        <v>220</v>
      </c>
      <c r="H13" s="176" t="s">
        <v>221</v>
      </c>
      <c r="I13" s="174" t="s">
        <v>216</v>
      </c>
      <c r="J13" s="175"/>
      <c r="K13" s="155"/>
    </row>
    <row r="14" spans="2:11" ht="17.25" customHeight="1" thickBot="1" x14ac:dyDescent="0.25">
      <c r="B14" s="181"/>
      <c r="C14" s="179"/>
      <c r="D14" s="179"/>
      <c r="E14" s="179"/>
      <c r="F14" s="162"/>
      <c r="G14" s="162"/>
      <c r="H14" s="177"/>
      <c r="I14" s="65" t="s">
        <v>1</v>
      </c>
      <c r="J14" s="66" t="s">
        <v>3</v>
      </c>
      <c r="K14" s="155"/>
    </row>
    <row r="15" spans="2:11" ht="24.75" customHeight="1" x14ac:dyDescent="0.2">
      <c r="B15" s="19">
        <v>1</v>
      </c>
      <c r="C15" s="20" t="str">
        <f>IF(Component1&gt;0,Component1,"")</f>
        <v>PROGRAMA E PROJETO COMO UM TODO</v>
      </c>
      <c r="D15" s="20" t="str">
        <f>IF(Typeofrisk1&gt;0,Typeofrisk1,"")</f>
        <v>Desenvolvimento</v>
      </c>
      <c r="E15" s="21" t="str">
        <f>IF(Risk1&gt;0,Risk1,"")</f>
        <v>Atraso na execução do programa/projeto</v>
      </c>
      <c r="F15" s="22">
        <v>2</v>
      </c>
      <c r="G15" s="22">
        <v>3</v>
      </c>
      <c r="H15" s="67">
        <f>+Impact1*Probability1</f>
        <v>6</v>
      </c>
      <c r="I15" s="68">
        <f t="shared" ref="I15:I17" si="0">IF(H15&gt;0, VLOOKUP(H15,$H$5:$I$10,2,FALSE),"")</f>
        <v>3</v>
      </c>
      <c r="J15" s="69" t="str">
        <f>IF(I15=1,"Baixo",IF(I15=2,"Médio",IF(I15=3,"Alto","")))</f>
        <v>Alto</v>
      </c>
      <c r="K15" s="74"/>
    </row>
    <row r="16" spans="2:11" ht="24.75" customHeight="1" x14ac:dyDescent="0.2">
      <c r="B16" s="18">
        <v>2</v>
      </c>
      <c r="C16" s="11" t="str">
        <f>IF(Component2&gt;0,Component2,"")</f>
        <v>PROJETO COMO UM TODO</v>
      </c>
      <c r="D16" s="11" t="str">
        <f>IF(Typeofrisk2&gt;0,Typeofrisk2,"")</f>
        <v>Governabilidade</v>
      </c>
      <c r="E16" s="3" t="str">
        <f>IF(Risk2&gt;0,Risk2,"")</f>
        <v>Falta de patrocínio político do gestor estratégico</v>
      </c>
      <c r="F16" s="2">
        <v>1</v>
      </c>
      <c r="G16" s="2">
        <v>1</v>
      </c>
      <c r="H16" s="67">
        <f>+Impact2*Probability2</f>
        <v>1</v>
      </c>
      <c r="I16" s="70">
        <f>IF(H16&gt;0, VLOOKUP(H16,$H$5:$I$10,2,FALSE),"")</f>
        <v>1</v>
      </c>
      <c r="J16" s="69" t="str">
        <f t="shared" ref="J16:J34" si="1">IF(I16=1,"Baixo",IF(I16=2,"Médio",IF(I16=3,"Alto","")))</f>
        <v>Baixo</v>
      </c>
      <c r="K16" s="74"/>
    </row>
    <row r="17" spans="2:11" x14ac:dyDescent="0.2">
      <c r="B17" s="18">
        <v>3</v>
      </c>
      <c r="C17" s="11" t="str">
        <f>IF(Component3&gt;0,Component3,"")</f>
        <v>PROGRAMA / PROJETO COMO UM TODO: Uso da legislação nacional. Excepcionalidade será ampliada para as aquisições e contratações da UCP</v>
      </c>
      <c r="D17" s="11" t="str">
        <f>IF(Typeofrisk3&gt;0,Typeofrisk3,"")</f>
        <v>Fiduciários</v>
      </c>
      <c r="E17" s="3" t="str">
        <f>IF(Risk3&gt;0,Risk3,"")</f>
        <v>Burocracia na consulta prévia para processos de aquisição / contratação</v>
      </c>
      <c r="F17" s="2">
        <v>2</v>
      </c>
      <c r="G17" s="2">
        <v>2</v>
      </c>
      <c r="H17" s="67">
        <f>+Impact3*Probability3</f>
        <v>4</v>
      </c>
      <c r="I17" s="70">
        <f t="shared" si="0"/>
        <v>2</v>
      </c>
      <c r="J17" s="69" t="str">
        <f t="shared" si="1"/>
        <v>Médio</v>
      </c>
      <c r="K17" s="74"/>
    </row>
    <row r="18" spans="2:11" ht="26.25" customHeight="1" x14ac:dyDescent="0.2">
      <c r="B18" s="18">
        <v>4</v>
      </c>
      <c r="C18" s="11" t="str">
        <f>IF(Component4&gt;0,Component4,"")</f>
        <v xml:space="preserve">PROGRAMA / PROJETO COMO UM TODO: Prestação de contas. Não existe mais Fundo Rotativo. </v>
      </c>
      <c r="D18" s="11" t="str">
        <f>IF(Typeofrisk4&gt;0,Typeofrisk4,"")</f>
        <v>Fiduciários</v>
      </c>
      <c r="E18" s="3" t="str">
        <f>IF(Risk4&gt;0,Risk4,"")</f>
        <v>Inconsistências nas prestações de contas</v>
      </c>
      <c r="F18" s="2">
        <v>2</v>
      </c>
      <c r="G18" s="2">
        <v>2</v>
      </c>
      <c r="H18" s="67">
        <f>+Impact4*Probability4</f>
        <v>4</v>
      </c>
      <c r="I18" s="70">
        <f>IF(H18&gt;0, VLOOKUP(H18,$H$5:$I$10,2,FALSE),"")</f>
        <v>2</v>
      </c>
      <c r="J18" s="69" t="str">
        <f t="shared" si="1"/>
        <v>Médio</v>
      </c>
      <c r="K18" s="74"/>
    </row>
    <row r="19" spans="2:11" ht="26.25" customHeight="1" x14ac:dyDescent="0.2">
      <c r="B19" s="18">
        <v>5</v>
      </c>
      <c r="C19" s="11" t="str">
        <f>IF(Component5&gt;0,Component5,"")</f>
        <v>PROGRAMA / PROJETOS COMO UM TODO</v>
      </c>
      <c r="D19" s="11" t="str">
        <f>IF(Typeofrisk5&gt;0,Typeofrisk5,"")</f>
        <v>Reputação</v>
      </c>
      <c r="E19" s="3" t="str">
        <f>IF(Risk5&gt;0,Risk5,"")</f>
        <v>Contingenciamento de recursos</v>
      </c>
      <c r="F19" s="2">
        <v>2</v>
      </c>
      <c r="G19" s="2">
        <v>1</v>
      </c>
      <c r="H19" s="67">
        <f>+Impact5*Probability5</f>
        <v>2</v>
      </c>
      <c r="I19" s="70">
        <f t="shared" ref="I19:I34" si="2">IF(H19&gt;0, VLOOKUP(H19,$H$5:$I$10,2,FALSE),"")</f>
        <v>1</v>
      </c>
      <c r="J19" s="69" t="str">
        <f t="shared" si="1"/>
        <v>Baixo</v>
      </c>
      <c r="K19" s="74"/>
    </row>
    <row r="20" spans="2:11" x14ac:dyDescent="0.2">
      <c r="B20" s="18">
        <v>6</v>
      </c>
      <c r="C20" s="11" t="str">
        <f>IF(Component6&gt;0,Component6,"")</f>
        <v/>
      </c>
      <c r="D20" s="11" t="str">
        <f>IF(Typeofrisk6&gt;0,Typeofrisk6,"")</f>
        <v/>
      </c>
      <c r="E20" s="3" t="str">
        <f>IF(Risk6&gt;0,Risk6,"")</f>
        <v/>
      </c>
      <c r="F20" s="2">
        <v>1</v>
      </c>
      <c r="G20" s="2">
        <v>1</v>
      </c>
      <c r="H20" s="67">
        <f>+Impact6*Probability6</f>
        <v>1</v>
      </c>
      <c r="I20" s="70">
        <f t="shared" si="2"/>
        <v>1</v>
      </c>
      <c r="J20" s="69" t="str">
        <f t="shared" si="1"/>
        <v>Baixo</v>
      </c>
      <c r="K20" s="74"/>
    </row>
    <row r="21" spans="2:11" x14ac:dyDescent="0.2">
      <c r="B21" s="18">
        <v>7</v>
      </c>
      <c r="C21" s="11" t="str">
        <f>IF(Component7&gt;0,Component7,"")</f>
        <v/>
      </c>
      <c r="D21" s="11" t="str">
        <f>IF(Typeofrisk7&gt;0,Typeofrisk7,"")</f>
        <v/>
      </c>
      <c r="E21" s="3" t="str">
        <f>IF(Risk7&gt;0,Risk7,"")</f>
        <v/>
      </c>
      <c r="F21" s="2">
        <v>1</v>
      </c>
      <c r="G21" s="2">
        <v>1</v>
      </c>
      <c r="H21" s="67">
        <f>+Impact7*Probability7</f>
        <v>1</v>
      </c>
      <c r="I21" s="70">
        <f t="shared" si="2"/>
        <v>1</v>
      </c>
      <c r="J21" s="69" t="str">
        <f t="shared" si="1"/>
        <v>Baixo</v>
      </c>
      <c r="K21" s="74"/>
    </row>
    <row r="22" spans="2:11" x14ac:dyDescent="0.2">
      <c r="B22" s="18">
        <v>8</v>
      </c>
      <c r="C22" s="11" t="str">
        <f>IF(Component8&gt;0,Component8,"")</f>
        <v/>
      </c>
      <c r="D22" s="11" t="str">
        <f>IF(Typeofrisk8&gt;0,Typeofrisk8,"")</f>
        <v/>
      </c>
      <c r="E22" s="3" t="str">
        <f>IF(Risk8&gt;0,Risk8,"")</f>
        <v/>
      </c>
      <c r="F22" s="2">
        <v>1</v>
      </c>
      <c r="G22" s="2">
        <v>1</v>
      </c>
      <c r="H22" s="67">
        <f>+Impact8*Probability8</f>
        <v>1</v>
      </c>
      <c r="I22" s="70">
        <f t="shared" si="2"/>
        <v>1</v>
      </c>
      <c r="J22" s="69" t="str">
        <f t="shared" si="1"/>
        <v>Baixo</v>
      </c>
      <c r="K22" s="74"/>
    </row>
    <row r="23" spans="2:11" ht="27" customHeight="1" x14ac:dyDescent="0.2">
      <c r="B23" s="18">
        <v>9</v>
      </c>
      <c r="C23" s="11" t="str">
        <f>IF(Component9&gt;0,Component9,"")</f>
        <v/>
      </c>
      <c r="D23" s="11" t="str">
        <f>IF(Typeofrisk9&gt;0,Typeofrisk9,"")</f>
        <v/>
      </c>
      <c r="E23" s="3"/>
      <c r="F23" s="2">
        <v>1</v>
      </c>
      <c r="G23" s="2">
        <v>1</v>
      </c>
      <c r="H23" s="67">
        <f>+Impact9*Probability9</f>
        <v>1</v>
      </c>
      <c r="I23" s="70">
        <f t="shared" si="2"/>
        <v>1</v>
      </c>
      <c r="J23" s="69" t="str">
        <f t="shared" si="1"/>
        <v>Baixo</v>
      </c>
      <c r="K23" s="74"/>
    </row>
    <row r="24" spans="2:11" x14ac:dyDescent="0.2">
      <c r="B24" s="18">
        <v>10</v>
      </c>
      <c r="C24" s="11" t="str">
        <f>IF(Component10&gt;0,Component10,"")</f>
        <v/>
      </c>
      <c r="D24" s="11" t="str">
        <f>IF(Typeofrisk10&gt;0,Typeofrisk10,"")</f>
        <v/>
      </c>
      <c r="E24" s="3" t="str">
        <f>IF(Risk10&gt;0,Risk10,"")</f>
        <v/>
      </c>
      <c r="F24" s="2">
        <v>1</v>
      </c>
      <c r="G24" s="2">
        <v>1</v>
      </c>
      <c r="H24" s="67">
        <f>+Impact10*Probability10</f>
        <v>1</v>
      </c>
      <c r="I24" s="70">
        <f t="shared" si="2"/>
        <v>1</v>
      </c>
      <c r="J24" s="69" t="str">
        <f t="shared" si="1"/>
        <v>Baixo</v>
      </c>
      <c r="K24" s="74"/>
    </row>
    <row r="25" spans="2:11" hidden="1" x14ac:dyDescent="0.2">
      <c r="B25" s="18">
        <v>11</v>
      </c>
      <c r="C25" s="11" t="str">
        <f>IF(Component11&gt;0,Component11,"")</f>
        <v/>
      </c>
      <c r="D25" s="11" t="str">
        <f>IF(Typeofrisk11&gt;0,Typeofrisk11,"")</f>
        <v/>
      </c>
      <c r="E25" s="3" t="str">
        <f>IF(Risk11&gt;0,Risk11,"")</f>
        <v/>
      </c>
      <c r="F25" s="2">
        <v>3</v>
      </c>
      <c r="G25" s="2">
        <v>1</v>
      </c>
      <c r="H25" s="67">
        <f>+Impact11*Probability11</f>
        <v>3</v>
      </c>
      <c r="I25" s="70">
        <f t="shared" si="2"/>
        <v>2</v>
      </c>
      <c r="J25" s="69" t="str">
        <f t="shared" si="1"/>
        <v>Médio</v>
      </c>
      <c r="K25" s="75"/>
    </row>
    <row r="26" spans="2:11" hidden="1" x14ac:dyDescent="0.2">
      <c r="B26" s="18">
        <v>12</v>
      </c>
      <c r="C26" s="11" t="str">
        <f>IF(Component12&gt;0,Component12,"")</f>
        <v/>
      </c>
      <c r="D26" s="11" t="str">
        <f>IF(Typeofrisk12&gt;0,Typeofrisk12,"")</f>
        <v/>
      </c>
      <c r="E26" s="3" t="str">
        <f>IF(Risk12&gt;0,Risk12,"")</f>
        <v/>
      </c>
      <c r="F26" s="2">
        <v>3</v>
      </c>
      <c r="G26" s="2">
        <v>1</v>
      </c>
      <c r="H26" s="67">
        <f>+Impact12*Probability12</f>
        <v>3</v>
      </c>
      <c r="I26" s="70">
        <f t="shared" si="2"/>
        <v>2</v>
      </c>
      <c r="J26" s="69" t="str">
        <f t="shared" si="1"/>
        <v>Médio</v>
      </c>
      <c r="K26" s="75"/>
    </row>
    <row r="27" spans="2:11" hidden="1" x14ac:dyDescent="0.2">
      <c r="B27" s="18">
        <v>13</v>
      </c>
      <c r="C27" s="11" t="str">
        <f>IF(Component13&gt;0,Component13,"")</f>
        <v/>
      </c>
      <c r="D27" s="11" t="str">
        <f>IF(Typeofrisk13&gt;0,Typeofrisk13,"")</f>
        <v/>
      </c>
      <c r="E27" s="3" t="str">
        <f>IF(Risk13&gt;0,Risk13,"")</f>
        <v/>
      </c>
      <c r="F27" s="2">
        <v>3</v>
      </c>
      <c r="G27" s="2">
        <v>1</v>
      </c>
      <c r="H27" s="67">
        <f>+Impact13*Probability13</f>
        <v>3</v>
      </c>
      <c r="I27" s="70">
        <f t="shared" si="2"/>
        <v>2</v>
      </c>
      <c r="J27" s="69" t="str">
        <f t="shared" si="1"/>
        <v>Médio</v>
      </c>
      <c r="K27" s="75"/>
    </row>
    <row r="28" spans="2:11" hidden="1" x14ac:dyDescent="0.2">
      <c r="B28" s="18">
        <v>14</v>
      </c>
      <c r="C28" s="11" t="str">
        <f>IF(Component14&gt;0,Component14,"")</f>
        <v/>
      </c>
      <c r="D28" s="11" t="str">
        <f>IF(Typeofrisk14&gt;0,Typeofrisk14,"")</f>
        <v/>
      </c>
      <c r="E28" s="3" t="str">
        <f>IF(Risk14&gt;0,Risk14,"")</f>
        <v/>
      </c>
      <c r="F28" s="2">
        <v>3</v>
      </c>
      <c r="G28" s="2">
        <v>1</v>
      </c>
      <c r="H28" s="67">
        <f>+Impact14*Probability14</f>
        <v>3</v>
      </c>
      <c r="I28" s="70">
        <f t="shared" si="2"/>
        <v>2</v>
      </c>
      <c r="J28" s="69" t="str">
        <f t="shared" si="1"/>
        <v>Médio</v>
      </c>
      <c r="K28" s="75"/>
    </row>
    <row r="29" spans="2:11" hidden="1" x14ac:dyDescent="0.2">
      <c r="B29" s="18">
        <v>15</v>
      </c>
      <c r="C29" s="11" t="str">
        <f>IF(Component15&gt;0,Component15,"")</f>
        <v/>
      </c>
      <c r="D29" s="11" t="str">
        <f>IF(Typeofrisk15&gt;0,Typeofrisk15,"")</f>
        <v/>
      </c>
      <c r="E29" s="3" t="str">
        <f>IF(Risk15&gt;0,Risk15,"")</f>
        <v/>
      </c>
      <c r="F29" s="2">
        <v>3</v>
      </c>
      <c r="G29" s="2">
        <v>1</v>
      </c>
      <c r="H29" s="67">
        <f>+Impact15*Probability15</f>
        <v>3</v>
      </c>
      <c r="I29" s="70">
        <f t="shared" si="2"/>
        <v>2</v>
      </c>
      <c r="J29" s="69" t="str">
        <f t="shared" si="1"/>
        <v>Médio</v>
      </c>
      <c r="K29" s="75"/>
    </row>
    <row r="30" spans="2:11" hidden="1" x14ac:dyDescent="0.2">
      <c r="B30" s="18">
        <v>16</v>
      </c>
      <c r="C30" s="11" t="str">
        <f>IF(Component16&gt;0,Component16,"")</f>
        <v/>
      </c>
      <c r="D30" s="11" t="str">
        <f>IF(Typeofrisk16&gt;0,Typeofrisk16,"")</f>
        <v/>
      </c>
      <c r="E30" s="3" t="str">
        <f>IF(Risk16&gt;0,Risk16,"")</f>
        <v/>
      </c>
      <c r="F30" s="2">
        <v>3</v>
      </c>
      <c r="G30" s="2">
        <v>1</v>
      </c>
      <c r="H30" s="67">
        <f>+Impact16*Probability16</f>
        <v>3</v>
      </c>
      <c r="I30" s="70">
        <f t="shared" si="2"/>
        <v>2</v>
      </c>
      <c r="J30" s="69" t="str">
        <f t="shared" si="1"/>
        <v>Médio</v>
      </c>
      <c r="K30" s="75"/>
    </row>
    <row r="31" spans="2:11" hidden="1" x14ac:dyDescent="0.2">
      <c r="B31" s="18">
        <v>17</v>
      </c>
      <c r="C31" s="11" t="str">
        <f>IF(Component17&gt;0,Component17,"")</f>
        <v/>
      </c>
      <c r="D31" s="11" t="str">
        <f>IF(Typeofrisk17&gt;0,Typeofrisk17,"")</f>
        <v/>
      </c>
      <c r="E31" s="3" t="str">
        <f>IF(Risk17&gt;0,Risk17,"")</f>
        <v/>
      </c>
      <c r="F31" s="2">
        <v>3</v>
      </c>
      <c r="G31" s="2">
        <v>1</v>
      </c>
      <c r="H31" s="67">
        <f>+Impact17*Probability17</f>
        <v>3</v>
      </c>
      <c r="I31" s="70">
        <f t="shared" si="2"/>
        <v>2</v>
      </c>
      <c r="J31" s="69" t="str">
        <f t="shared" si="1"/>
        <v>Médio</v>
      </c>
      <c r="K31" s="75"/>
    </row>
    <row r="32" spans="2:11" hidden="1" x14ac:dyDescent="0.2">
      <c r="B32" s="18">
        <v>18</v>
      </c>
      <c r="C32" s="11" t="str">
        <f>IF(Component18&gt;0,Component18,"")</f>
        <v/>
      </c>
      <c r="D32" s="11" t="str">
        <f>IF(Typeofrisk18&gt;0,Typeofrisk18,"")</f>
        <v/>
      </c>
      <c r="E32" s="3" t="str">
        <f>IF(Risk18&gt;0,Risk18,"")</f>
        <v/>
      </c>
      <c r="F32" s="2">
        <v>3</v>
      </c>
      <c r="G32" s="2">
        <v>1</v>
      </c>
      <c r="H32" s="67">
        <f>+Impact18*Probability18</f>
        <v>3</v>
      </c>
      <c r="I32" s="70">
        <f t="shared" si="2"/>
        <v>2</v>
      </c>
      <c r="J32" s="69" t="str">
        <f t="shared" si="1"/>
        <v>Médio</v>
      </c>
      <c r="K32" s="75"/>
    </row>
    <row r="33" spans="2:11" hidden="1" x14ac:dyDescent="0.2">
      <c r="B33" s="18">
        <v>19</v>
      </c>
      <c r="C33" s="11" t="str">
        <f>IF(Component19&gt;0,Component19,"")</f>
        <v/>
      </c>
      <c r="D33" s="11" t="str">
        <f>IF(Typeofrisk19&gt;0,Typeofrisk19,"")</f>
        <v/>
      </c>
      <c r="E33" s="3" t="str">
        <f>IF(Risk19&gt;0,Risk19,"")</f>
        <v/>
      </c>
      <c r="F33" s="2">
        <v>3</v>
      </c>
      <c r="G33" s="2">
        <v>1</v>
      </c>
      <c r="H33" s="67">
        <f>+Impact19*Probability19</f>
        <v>3</v>
      </c>
      <c r="I33" s="70">
        <f t="shared" si="2"/>
        <v>2</v>
      </c>
      <c r="J33" s="69" t="str">
        <f t="shared" si="1"/>
        <v>Médio</v>
      </c>
      <c r="K33" s="75"/>
    </row>
    <row r="34" spans="2:11" hidden="1" x14ac:dyDescent="0.2">
      <c r="B34" s="18">
        <v>20</v>
      </c>
      <c r="C34" s="11" t="str">
        <f>IF(Component20&gt;0,Component20,"")</f>
        <v/>
      </c>
      <c r="D34" s="11" t="str">
        <f>IF(Typeofrisk20&gt;0,Typeofrisk20,"")</f>
        <v/>
      </c>
      <c r="E34" s="3" t="str">
        <f>IF(Risk20&gt;0,Risk20,"")</f>
        <v/>
      </c>
      <c r="F34" s="2">
        <v>3</v>
      </c>
      <c r="G34" s="2">
        <v>1</v>
      </c>
      <c r="H34" s="67">
        <f>+Impact20*Probability20</f>
        <v>3</v>
      </c>
      <c r="I34" s="70">
        <f t="shared" si="2"/>
        <v>2</v>
      </c>
      <c r="J34" s="69" t="str">
        <f t="shared" si="1"/>
        <v>Médio</v>
      </c>
      <c r="K34" s="75"/>
    </row>
    <row r="35" spans="2:11" ht="13.5" thickBot="1" x14ac:dyDescent="0.25">
      <c r="B35" s="166" t="s">
        <v>208</v>
      </c>
      <c r="C35" s="167"/>
      <c r="D35" s="167"/>
      <c r="E35" s="167"/>
      <c r="F35" s="167"/>
      <c r="G35" s="167"/>
      <c r="H35" s="168"/>
      <c r="I35" s="169" t="s">
        <v>208</v>
      </c>
      <c r="J35" s="167"/>
      <c r="K35" s="76"/>
    </row>
    <row r="36" spans="2:11" x14ac:dyDescent="0.2">
      <c r="B36" s="77"/>
      <c r="C36" s="77"/>
      <c r="D36" s="77"/>
      <c r="E36" s="77"/>
      <c r="F36" s="77"/>
      <c r="G36" s="77"/>
      <c r="H36" s="77"/>
      <c r="I36" s="77"/>
      <c r="J36" s="77"/>
      <c r="K36" s="77"/>
    </row>
    <row r="37" spans="2:11" x14ac:dyDescent="0.2">
      <c r="B37" s="77"/>
      <c r="C37" s="77"/>
      <c r="D37" s="77"/>
      <c r="E37" s="77"/>
      <c r="F37" s="77"/>
      <c r="G37" s="77"/>
      <c r="H37" s="77"/>
      <c r="I37" s="77"/>
      <c r="J37" s="77"/>
      <c r="K37" s="77"/>
    </row>
    <row r="38" spans="2:11" x14ac:dyDescent="0.2">
      <c r="B38" s="77"/>
      <c r="C38" s="77"/>
      <c r="D38" s="77"/>
      <c r="E38" s="77"/>
      <c r="F38" s="77"/>
      <c r="G38" s="77"/>
      <c r="H38" s="77"/>
      <c r="I38" s="77"/>
      <c r="J38" s="77"/>
      <c r="K38" s="77"/>
    </row>
    <row r="39" spans="2:11" x14ac:dyDescent="0.2">
      <c r="B39" s="77"/>
      <c r="C39" s="77"/>
      <c r="D39" s="77"/>
      <c r="E39" s="77"/>
      <c r="F39" s="77"/>
      <c r="G39" s="77"/>
      <c r="H39" s="77"/>
      <c r="I39" s="77"/>
      <c r="J39" s="77"/>
      <c r="K39" s="77"/>
    </row>
    <row r="40" spans="2:11" x14ac:dyDescent="0.2">
      <c r="B40" s="77"/>
      <c r="C40" s="77"/>
      <c r="D40" s="77"/>
      <c r="E40" s="77"/>
      <c r="F40" s="77"/>
      <c r="G40" s="77"/>
      <c r="H40" s="77"/>
      <c r="I40" s="77"/>
      <c r="J40" s="77"/>
      <c r="K40" s="77"/>
    </row>
    <row r="41" spans="2:11" x14ac:dyDescent="0.2">
      <c r="B41" s="77"/>
      <c r="C41" s="77"/>
      <c r="D41" s="77"/>
      <c r="E41" s="77"/>
      <c r="F41" s="77"/>
      <c r="G41" s="77"/>
      <c r="H41" s="77"/>
      <c r="I41" s="77"/>
      <c r="J41" s="77"/>
      <c r="K41" s="77"/>
    </row>
    <row r="42" spans="2:11" x14ac:dyDescent="0.2">
      <c r="B42" s="77"/>
      <c r="C42" s="77"/>
      <c r="D42" s="77"/>
      <c r="E42" s="77"/>
      <c r="F42" s="77"/>
      <c r="G42" s="77"/>
      <c r="H42" s="77"/>
      <c r="I42" s="77"/>
      <c r="J42" s="77"/>
      <c r="K42" s="77"/>
    </row>
    <row r="43" spans="2:11" x14ac:dyDescent="0.2">
      <c r="B43" s="77"/>
      <c r="C43" s="77"/>
      <c r="D43" s="77"/>
      <c r="E43" s="77"/>
      <c r="F43" s="77"/>
      <c r="G43" s="77"/>
      <c r="H43" s="77"/>
      <c r="I43" s="77"/>
      <c r="J43" s="77"/>
      <c r="K43" s="77"/>
    </row>
    <row r="44" spans="2:11" x14ac:dyDescent="0.2">
      <c r="B44" s="77"/>
      <c r="C44" s="77"/>
      <c r="D44" s="77"/>
      <c r="E44" s="77"/>
      <c r="F44" s="77"/>
      <c r="G44" s="77"/>
      <c r="H44" s="77"/>
      <c r="I44" s="77"/>
      <c r="J44" s="77"/>
      <c r="K44" s="77"/>
    </row>
    <row r="45" spans="2:11" x14ac:dyDescent="0.2">
      <c r="B45" s="77"/>
      <c r="C45" s="77"/>
      <c r="D45" s="77"/>
      <c r="E45" s="77"/>
      <c r="F45" s="77"/>
      <c r="G45" s="77"/>
      <c r="H45" s="77"/>
      <c r="I45" s="77"/>
      <c r="J45" s="77"/>
      <c r="K45" s="77"/>
    </row>
    <row r="46" spans="2:11" x14ac:dyDescent="0.2">
      <c r="B46" s="77"/>
      <c r="C46" s="77"/>
      <c r="D46" s="77"/>
      <c r="E46" s="77"/>
      <c r="F46" s="77"/>
      <c r="G46" s="77"/>
      <c r="H46" s="77"/>
      <c r="I46" s="77"/>
      <c r="J46" s="77"/>
      <c r="K46" s="77"/>
    </row>
    <row r="47" spans="2:11" x14ac:dyDescent="0.2">
      <c r="B47" s="77"/>
      <c r="C47" s="77"/>
      <c r="D47" s="77"/>
      <c r="E47" s="77"/>
      <c r="F47" s="77"/>
      <c r="G47" s="77"/>
      <c r="H47" s="77"/>
      <c r="I47" s="77"/>
      <c r="J47" s="77"/>
      <c r="K47" s="77"/>
    </row>
    <row r="48" spans="2:11" x14ac:dyDescent="0.2">
      <c r="B48" s="77"/>
      <c r="C48" s="77"/>
      <c r="D48" s="77"/>
      <c r="E48" s="77"/>
      <c r="F48" s="77"/>
      <c r="G48" s="77"/>
      <c r="H48" s="77"/>
      <c r="I48" s="77"/>
      <c r="J48" s="77"/>
      <c r="K48" s="77"/>
    </row>
    <row r="49" spans="2:11" x14ac:dyDescent="0.2">
      <c r="B49" s="77"/>
      <c r="C49" s="77"/>
      <c r="D49" s="77"/>
      <c r="E49" s="77"/>
      <c r="F49" s="77"/>
      <c r="G49" s="77"/>
      <c r="H49" s="77"/>
      <c r="I49" s="77"/>
      <c r="J49" s="77"/>
      <c r="K49" s="77"/>
    </row>
    <row r="50" spans="2:11" x14ac:dyDescent="0.2">
      <c r="B50" s="77"/>
      <c r="C50" s="77"/>
      <c r="D50" s="77"/>
      <c r="E50" s="77"/>
      <c r="F50" s="77"/>
      <c r="G50" s="77"/>
      <c r="H50" s="77"/>
      <c r="I50" s="77"/>
      <c r="J50" s="77"/>
      <c r="K50" s="77"/>
    </row>
    <row r="51" spans="2:11" x14ac:dyDescent="0.2">
      <c r="B51" s="77"/>
      <c r="C51" s="77"/>
      <c r="D51" s="77"/>
      <c r="E51" s="77"/>
      <c r="F51" s="77"/>
      <c r="G51" s="77"/>
      <c r="H51" s="77"/>
      <c r="I51" s="77"/>
      <c r="J51" s="77"/>
      <c r="K51" s="77"/>
    </row>
    <row r="52" spans="2:11" x14ac:dyDescent="0.2">
      <c r="B52" s="77"/>
      <c r="C52" s="77"/>
      <c r="D52" s="77"/>
      <c r="E52" s="77"/>
      <c r="F52" s="77"/>
      <c r="G52" s="77"/>
      <c r="H52" s="77"/>
      <c r="I52" s="77"/>
      <c r="J52" s="77"/>
      <c r="K52" s="77"/>
    </row>
    <row r="53" spans="2:11" x14ac:dyDescent="0.2">
      <c r="B53" s="77"/>
      <c r="C53" s="77"/>
      <c r="D53" s="77"/>
      <c r="E53" s="77"/>
      <c r="F53" s="77"/>
      <c r="G53" s="77"/>
      <c r="H53" s="77"/>
      <c r="I53" s="77"/>
      <c r="J53" s="77"/>
      <c r="K53" s="77"/>
    </row>
    <row r="54" spans="2:11" x14ac:dyDescent="0.2">
      <c r="B54" s="77"/>
      <c r="C54" s="77"/>
      <c r="D54" s="77"/>
      <c r="E54" s="77"/>
      <c r="F54" s="77"/>
      <c r="G54" s="77"/>
      <c r="H54" s="77"/>
      <c r="I54" s="77"/>
      <c r="J54" s="77"/>
      <c r="K54" s="77"/>
    </row>
    <row r="55" spans="2:11" x14ac:dyDescent="0.2">
      <c r="B55" s="77"/>
      <c r="C55" s="77"/>
      <c r="D55" s="77"/>
      <c r="E55" s="77"/>
      <c r="F55" s="77"/>
      <c r="G55" s="77"/>
      <c r="H55" s="77"/>
      <c r="I55" s="77"/>
      <c r="J55" s="77"/>
      <c r="K55" s="77"/>
    </row>
    <row r="56" spans="2:11" x14ac:dyDescent="0.2">
      <c r="B56" s="77"/>
      <c r="C56" s="77"/>
      <c r="D56" s="77"/>
      <c r="E56" s="77"/>
      <c r="F56" s="77"/>
      <c r="G56" s="77"/>
      <c r="H56" s="77"/>
      <c r="I56" s="77"/>
      <c r="J56" s="77"/>
      <c r="K56" s="77"/>
    </row>
    <row r="57" spans="2:11" x14ac:dyDescent="0.2">
      <c r="B57" s="77"/>
      <c r="C57" s="77"/>
      <c r="D57" s="77"/>
      <c r="E57" s="77"/>
      <c r="F57" s="77"/>
      <c r="G57" s="77"/>
      <c r="H57" s="77"/>
      <c r="I57" s="77"/>
      <c r="J57" s="77"/>
      <c r="K57" s="77"/>
    </row>
  </sheetData>
  <sheetProtection selectLockedCells="1"/>
  <mergeCells count="18">
    <mergeCell ref="B35:H35"/>
    <mergeCell ref="I35:J35"/>
    <mergeCell ref="H3:H4"/>
    <mergeCell ref="I3:J3"/>
    <mergeCell ref="I13:J13"/>
    <mergeCell ref="H13:H14"/>
    <mergeCell ref="C13:C14"/>
    <mergeCell ref="D13:D14"/>
    <mergeCell ref="E13:E14"/>
    <mergeCell ref="B13:B14"/>
    <mergeCell ref="K13:K14"/>
    <mergeCell ref="B3:G3"/>
    <mergeCell ref="B2:G2"/>
    <mergeCell ref="B9:D9"/>
    <mergeCell ref="B5:G5"/>
    <mergeCell ref="F13:F14"/>
    <mergeCell ref="G13:G14"/>
    <mergeCell ref="B12:J12"/>
  </mergeCells>
  <phoneticPr fontId="0" type="noConversion"/>
  <conditionalFormatting sqref="F15:F34">
    <cfRule type="cellIs" dxfId="31" priority="48" stopIfTrue="1" operator="equal">
      <formula>3</formula>
    </cfRule>
    <cfRule type="cellIs" dxfId="30" priority="49" stopIfTrue="1" operator="equal">
      <formula>2</formula>
    </cfRule>
    <cfRule type="cellIs" dxfId="29" priority="50" stopIfTrue="1" operator="equal">
      <formula>1</formula>
    </cfRule>
  </conditionalFormatting>
  <conditionalFormatting sqref="I15:I34">
    <cfRule type="cellIs" dxfId="28" priority="37" stopIfTrue="1" operator="notBetween">
      <formula>1</formula>
      <formula>3</formula>
    </cfRule>
    <cfRule type="expression" dxfId="27" priority="42" stopIfTrue="1">
      <formula>$I15=3</formula>
    </cfRule>
    <cfRule type="expression" dxfId="26" priority="43" stopIfTrue="1">
      <formula>$I15=2</formula>
    </cfRule>
    <cfRule type="expression" dxfId="25" priority="44" stopIfTrue="1">
      <formula>$I15=1</formula>
    </cfRule>
  </conditionalFormatting>
  <conditionalFormatting sqref="J15:J34">
    <cfRule type="cellIs" dxfId="24" priority="33" stopIfTrue="1" operator="equal">
      <formula>""</formula>
    </cfRule>
    <cfRule type="cellIs" dxfId="23" priority="34" stopIfTrue="1" operator="equal">
      <formula>"Medio"</formula>
    </cfRule>
    <cfRule type="cellIs" dxfId="22" priority="35" stopIfTrue="1" operator="equal">
      <formula>"Alto"</formula>
    </cfRule>
    <cfRule type="cellIs" dxfId="21" priority="36" stopIfTrue="1" operator="equal">
      <formula>"Bajo"</formula>
    </cfRule>
  </conditionalFormatting>
  <conditionalFormatting sqref="G15:G34">
    <cfRule type="cellIs" dxfId="20" priority="1" operator="equal">
      <formula>3</formula>
    </cfRule>
    <cfRule type="cellIs" dxfId="19" priority="2" operator="equal">
      <formula>2</formula>
    </cfRule>
    <cfRule type="cellIs" dxfId="18" priority="32" stopIfTrue="1" operator="equal">
      <formula>1</formula>
    </cfRule>
  </conditionalFormatting>
  <dataValidations count="1">
    <dataValidation type="whole" allowBlank="1" showInputMessage="1" showErrorMessage="1" sqref="F15:G34">
      <formula1>1</formula1>
      <formula2>3</formula2>
    </dataValidation>
  </dataValidations>
  <printOptions horizontalCentered="1"/>
  <pageMargins left="0.32" right="0.47244094488188998" top="0.511811023622047" bottom="0.43307086614173201" header="0.196850393700787" footer="0.196850393700787"/>
  <pageSetup scale="64" orientation="portrait" r:id="rId1"/>
  <headerFooter alignWithMargins="0">
    <oddFooter>&amp;L&amp;"Arial Narrow,Regular"&amp;F&amp;R&amp;"Arial Narrow,Regular"Página  &amp;P  de  &amp;N</oddFooter>
  </headerFooter>
  <ignoredErrors>
    <ignoredError sqref="H15 H16:H34 I28:I34 C15:E22 I15 I16:I27 C24:E34 C23:D23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0" tint="-0.14999847407452621"/>
  </sheetPr>
  <dimension ref="B1:Q95"/>
  <sheetViews>
    <sheetView showGridLines="0" showRowColHeaders="0" showRuler="0" topLeftCell="B22" zoomScaleSheetLayoutView="100" workbookViewId="0">
      <selection activeCell="M28" sqref="M28"/>
    </sheetView>
  </sheetViews>
  <sheetFormatPr defaultColWidth="11.42578125" defaultRowHeight="12.75" x14ac:dyDescent="0.2"/>
  <cols>
    <col min="1" max="1" width="4.28515625" style="73" customWidth="1"/>
    <col min="2" max="2" width="4" style="86" customWidth="1"/>
    <col min="3" max="3" width="6.85546875" style="73" customWidth="1"/>
    <col min="4" max="4" width="21.28515625" style="73" customWidth="1"/>
    <col min="5" max="5" width="25.42578125" style="73" customWidth="1"/>
    <col min="6" max="6" width="8.7109375" style="73" customWidth="1"/>
    <col min="7" max="7" width="10" style="73" customWidth="1"/>
    <col min="8" max="8" width="17.85546875" style="73" customWidth="1"/>
    <col min="9" max="9" width="19" style="73" customWidth="1"/>
    <col min="10" max="10" width="13.42578125" style="73" customWidth="1"/>
    <col min="11" max="11" width="13.85546875" style="73" customWidth="1"/>
    <col min="12" max="12" width="11.42578125" style="73" customWidth="1"/>
    <col min="13" max="13" width="12.28515625" style="73" customWidth="1"/>
    <col min="14" max="14" width="15.28515625" style="73" customWidth="1"/>
    <col min="15" max="15" width="17.5703125" style="73" customWidth="1"/>
    <col min="16" max="16" width="12.5703125" style="73" customWidth="1"/>
    <col min="17" max="17" width="13.28515625" style="73" customWidth="1"/>
    <col min="18" max="16384" width="11.42578125" style="73"/>
  </cols>
  <sheetData>
    <row r="1" spans="2:17" s="72" customFormat="1" x14ac:dyDescent="0.2"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2:17" s="72" customFormat="1" ht="36.75" customHeight="1" x14ac:dyDescent="0.2">
      <c r="B2" s="204" t="s">
        <v>236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</row>
    <row r="3" spans="2:17" ht="15.75" x14ac:dyDescent="0.25">
      <c r="B3" s="205" t="s">
        <v>223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</row>
    <row r="4" spans="2:17" x14ac:dyDescent="0.2">
      <c r="B4" s="80"/>
      <c r="C4" s="55"/>
      <c r="D4" s="55"/>
      <c r="E4" s="55"/>
      <c r="F4" s="81"/>
      <c r="G4" s="81"/>
      <c r="H4" s="81"/>
      <c r="I4" s="81"/>
      <c r="J4" s="81"/>
      <c r="K4" s="81"/>
      <c r="L4" s="81"/>
      <c r="M4" s="82"/>
      <c r="N4" s="82"/>
      <c r="O4" s="82"/>
      <c r="P4" s="82"/>
      <c r="Q4" s="82"/>
    </row>
    <row r="5" spans="2:17" x14ac:dyDescent="0.2"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</row>
    <row r="6" spans="2:17" x14ac:dyDescent="0.2">
      <c r="B6" s="80"/>
      <c r="C6" s="55"/>
      <c r="D6" s="55"/>
      <c r="E6" s="55"/>
      <c r="F6" s="83"/>
      <c r="G6" s="81"/>
      <c r="H6" s="81"/>
      <c r="I6" s="81"/>
      <c r="J6" s="81"/>
      <c r="K6" s="81"/>
      <c r="L6" s="81"/>
      <c r="M6" s="82"/>
      <c r="N6" s="82"/>
      <c r="O6" s="82"/>
      <c r="P6" s="82"/>
      <c r="Q6" s="82"/>
    </row>
    <row r="7" spans="2:17" x14ac:dyDescent="0.2">
      <c r="B7" s="80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</row>
    <row r="8" spans="2:17" ht="13.5" thickBot="1" x14ac:dyDescent="0.25">
      <c r="B8" s="80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</row>
    <row r="9" spans="2:17" ht="27" customHeight="1" x14ac:dyDescent="0.2">
      <c r="B9" s="180" t="s">
        <v>16</v>
      </c>
      <c r="C9" s="207" t="s">
        <v>222</v>
      </c>
      <c r="D9" s="199" t="s">
        <v>211</v>
      </c>
      <c r="E9" s="199" t="s">
        <v>212</v>
      </c>
      <c r="F9" s="211" t="s">
        <v>216</v>
      </c>
      <c r="G9" s="199"/>
      <c r="H9" s="219" t="s">
        <v>224</v>
      </c>
      <c r="I9" s="220"/>
      <c r="J9" s="220"/>
      <c r="K9" s="220"/>
      <c r="L9" s="220"/>
      <c r="M9" s="220"/>
      <c r="N9" s="220"/>
      <c r="O9" s="220"/>
      <c r="P9" s="220"/>
      <c r="Q9" s="221"/>
    </row>
    <row r="10" spans="2:17" ht="24" customHeight="1" x14ac:dyDescent="0.2">
      <c r="B10" s="202"/>
      <c r="C10" s="208"/>
      <c r="D10" s="200"/>
      <c r="E10" s="200"/>
      <c r="F10" s="212"/>
      <c r="G10" s="201"/>
      <c r="H10" s="210" t="s">
        <v>225</v>
      </c>
      <c r="I10" s="213" t="s">
        <v>226</v>
      </c>
      <c r="J10" s="214" t="s">
        <v>245</v>
      </c>
      <c r="K10" s="213" t="s">
        <v>227</v>
      </c>
      <c r="L10" s="213" t="s">
        <v>230</v>
      </c>
      <c r="M10" s="210" t="s">
        <v>228</v>
      </c>
      <c r="N10" s="210"/>
      <c r="O10" s="215" t="s">
        <v>232</v>
      </c>
      <c r="P10" s="217" t="s">
        <v>233</v>
      </c>
      <c r="Q10" s="218"/>
    </row>
    <row r="11" spans="2:17" ht="25.5" x14ac:dyDescent="0.2">
      <c r="B11" s="203"/>
      <c r="C11" s="209"/>
      <c r="D11" s="201"/>
      <c r="E11" s="201"/>
      <c r="F11" s="54" t="s">
        <v>1</v>
      </c>
      <c r="G11" s="54" t="s">
        <v>3</v>
      </c>
      <c r="H11" s="210"/>
      <c r="I11" s="213"/>
      <c r="J11" s="214"/>
      <c r="K11" s="213"/>
      <c r="L11" s="213"/>
      <c r="M11" s="108" t="s">
        <v>229</v>
      </c>
      <c r="N11" s="109" t="s">
        <v>231</v>
      </c>
      <c r="O11" s="216"/>
      <c r="P11" s="93" t="s">
        <v>234</v>
      </c>
      <c r="Q11" s="94" t="s">
        <v>187</v>
      </c>
    </row>
    <row r="12" spans="2:17" ht="51" x14ac:dyDescent="0.2">
      <c r="B12" s="198">
        <v>1</v>
      </c>
      <c r="C12" s="194" t="str">
        <f>IF(Component1&gt;0,Component1,"")</f>
        <v>PROGRAMA E PROJETO COMO UM TODO</v>
      </c>
      <c r="D12" s="185" t="str">
        <f>+IF(Typeofrisk1&gt;0,Typeofrisk1,"")</f>
        <v>Desenvolvimento</v>
      </c>
      <c r="E12" s="185" t="str">
        <f>IF(Risk1&gt;0,Risk1,"")</f>
        <v>Atraso na execução do programa/projeto</v>
      </c>
      <c r="F12" s="188">
        <f>+Value1</f>
        <v>3</v>
      </c>
      <c r="G12" s="188" t="str">
        <f>+Level1</f>
        <v>Alto</v>
      </c>
      <c r="H12" s="120" t="s">
        <v>260</v>
      </c>
      <c r="I12" s="115" t="s">
        <v>259</v>
      </c>
      <c r="J12" s="222"/>
      <c r="K12" s="117" t="s">
        <v>290</v>
      </c>
      <c r="L12" s="117"/>
      <c r="M12" s="102" t="s">
        <v>291</v>
      </c>
      <c r="N12" s="102"/>
      <c r="O12" s="102"/>
      <c r="P12" s="17"/>
      <c r="Q12" s="105"/>
    </row>
    <row r="13" spans="2:17" ht="38.25" x14ac:dyDescent="0.2">
      <c r="B13" s="183"/>
      <c r="C13" s="195"/>
      <c r="D13" s="186"/>
      <c r="E13" s="186"/>
      <c r="F13" s="189"/>
      <c r="G13" s="189"/>
      <c r="H13" s="100"/>
      <c r="I13" s="110" t="s">
        <v>261</v>
      </c>
      <c r="J13" s="223"/>
      <c r="K13" s="112" t="s">
        <v>296</v>
      </c>
      <c r="L13" s="112"/>
      <c r="M13" s="103" t="s">
        <v>292</v>
      </c>
      <c r="N13" s="14"/>
      <c r="O13" s="103"/>
      <c r="P13" s="10"/>
      <c r="Q13" s="106"/>
    </row>
    <row r="14" spans="2:17" ht="51" x14ac:dyDescent="0.2">
      <c r="B14" s="183"/>
      <c r="C14" s="195"/>
      <c r="D14" s="186"/>
      <c r="E14" s="186"/>
      <c r="F14" s="189"/>
      <c r="G14" s="189"/>
      <c r="H14" s="5"/>
      <c r="I14" s="110" t="s">
        <v>262</v>
      </c>
      <c r="J14" s="223"/>
      <c r="K14" s="113" t="s">
        <v>295</v>
      </c>
      <c r="L14" s="113"/>
      <c r="M14" s="9" t="s">
        <v>292</v>
      </c>
      <c r="N14" s="14"/>
      <c r="O14" s="9"/>
      <c r="P14" s="10"/>
      <c r="Q14" s="24"/>
    </row>
    <row r="15" spans="2:17" ht="51" x14ac:dyDescent="0.2">
      <c r="B15" s="191"/>
      <c r="C15" s="196"/>
      <c r="D15" s="192"/>
      <c r="E15" s="192"/>
      <c r="F15" s="193"/>
      <c r="G15" s="193"/>
      <c r="H15" s="5"/>
      <c r="I15" s="111" t="s">
        <v>289</v>
      </c>
      <c r="J15" s="224"/>
      <c r="K15" s="113" t="s">
        <v>293</v>
      </c>
      <c r="L15" s="113"/>
      <c r="M15" s="9" t="s">
        <v>292</v>
      </c>
      <c r="N15" s="14"/>
      <c r="O15" s="9"/>
      <c r="P15" s="10"/>
      <c r="Q15" s="24"/>
    </row>
    <row r="16" spans="2:17" ht="38.25" x14ac:dyDescent="0.2">
      <c r="B16" s="198">
        <v>2</v>
      </c>
      <c r="C16" s="194" t="str">
        <f>IF(Component2&gt;0,Component2,"")</f>
        <v>PROJETO COMO UM TODO</v>
      </c>
      <c r="D16" s="185" t="str">
        <f>+IF(Typeofrisk2&gt;0,Typeofrisk2,"")</f>
        <v>Governabilidade</v>
      </c>
      <c r="E16" s="185" t="str">
        <f>IF(Risk2&gt;0,Risk2,"")</f>
        <v>Falta de patrocínio político do gestor estratégico</v>
      </c>
      <c r="F16" s="188">
        <f>+Value2</f>
        <v>1</v>
      </c>
      <c r="G16" s="188" t="str">
        <f>+Level2</f>
        <v>Baixo</v>
      </c>
      <c r="H16" s="100" t="s">
        <v>286</v>
      </c>
      <c r="I16" s="115" t="s">
        <v>294</v>
      </c>
      <c r="J16" s="116"/>
      <c r="K16" s="117" t="s">
        <v>296</v>
      </c>
      <c r="L16" s="117"/>
      <c r="M16" s="102" t="s">
        <v>292</v>
      </c>
      <c r="N16" s="14"/>
      <c r="O16" s="102"/>
      <c r="P16" s="17"/>
      <c r="Q16" s="105"/>
    </row>
    <row r="17" spans="2:17" x14ac:dyDescent="0.2">
      <c r="B17" s="183"/>
      <c r="C17" s="195"/>
      <c r="D17" s="186"/>
      <c r="E17" s="186"/>
      <c r="F17" s="189"/>
      <c r="G17" s="189"/>
      <c r="H17" s="101"/>
      <c r="I17" s="115"/>
      <c r="J17" s="116"/>
      <c r="K17" s="117"/>
      <c r="L17" s="117"/>
      <c r="M17" s="102"/>
      <c r="N17" s="104"/>
      <c r="O17" s="102"/>
      <c r="P17" s="17"/>
      <c r="Q17" s="105"/>
    </row>
    <row r="18" spans="2:17" x14ac:dyDescent="0.2">
      <c r="B18" s="183"/>
      <c r="C18" s="195"/>
      <c r="D18" s="186"/>
      <c r="E18" s="186"/>
      <c r="F18" s="189"/>
      <c r="G18" s="189"/>
      <c r="H18" s="100"/>
      <c r="I18" s="110"/>
      <c r="J18" s="118"/>
      <c r="K18" s="112"/>
      <c r="L18" s="112"/>
      <c r="M18" s="103"/>
      <c r="N18" s="14"/>
      <c r="O18" s="103"/>
      <c r="P18" s="10"/>
      <c r="Q18" s="106"/>
    </row>
    <row r="19" spans="2:17" x14ac:dyDescent="0.2">
      <c r="B19" s="191"/>
      <c r="C19" s="196"/>
      <c r="D19" s="192"/>
      <c r="E19" s="192"/>
      <c r="F19" s="193"/>
      <c r="G19" s="193"/>
      <c r="H19" s="5"/>
      <c r="I19" s="110"/>
      <c r="J19" s="118"/>
      <c r="K19" s="113"/>
      <c r="L19" s="113"/>
      <c r="M19" s="9"/>
      <c r="N19" s="14"/>
      <c r="O19" s="9"/>
      <c r="P19" s="10"/>
      <c r="Q19" s="24"/>
    </row>
    <row r="20" spans="2:17" ht="25.5" x14ac:dyDescent="0.2">
      <c r="B20" s="182">
        <v>3</v>
      </c>
      <c r="C20" s="194" t="str">
        <f>IF(Component3&gt;0,Component3,"")</f>
        <v>PROGRAMA / PROJETO COMO UM TODO: Uso da legislação nacional. Excepcionalidade será ampliada para as aquisições e contratações da UCP</v>
      </c>
      <c r="D20" s="185" t="str">
        <f>+IF(Typeofrisk3&gt;0,Typeofrisk3,"")</f>
        <v>Fiduciários</v>
      </c>
      <c r="E20" s="185" t="str">
        <f>IF(Risk3&gt;0,Risk3,"")</f>
        <v>Burocracia na consulta prévia para processos de aquisição / contratação</v>
      </c>
      <c r="F20" s="188">
        <f>+Value3</f>
        <v>2</v>
      </c>
      <c r="G20" s="188" t="str">
        <f>+Level3</f>
        <v>Médio</v>
      </c>
      <c r="H20" s="100" t="s">
        <v>266</v>
      </c>
      <c r="I20" s="111"/>
      <c r="J20" s="111"/>
      <c r="K20" s="117" t="s">
        <v>297</v>
      </c>
      <c r="L20" s="113"/>
      <c r="M20" s="113"/>
      <c r="N20" s="14"/>
      <c r="O20" s="9"/>
      <c r="P20" s="10"/>
      <c r="Q20" s="24"/>
    </row>
    <row r="21" spans="2:17" ht="51" x14ac:dyDescent="0.2">
      <c r="B21" s="183"/>
      <c r="C21" s="195"/>
      <c r="D21" s="186"/>
      <c r="E21" s="186"/>
      <c r="F21" s="189"/>
      <c r="G21" s="189"/>
      <c r="H21" s="101" t="s">
        <v>265</v>
      </c>
      <c r="I21" s="115"/>
      <c r="J21" s="116"/>
      <c r="K21" s="117" t="s">
        <v>297</v>
      </c>
      <c r="L21" s="117"/>
      <c r="M21" s="102" t="s">
        <v>298</v>
      </c>
      <c r="N21" s="104"/>
      <c r="O21" s="102"/>
      <c r="P21" s="17"/>
      <c r="Q21" s="105"/>
    </row>
    <row r="22" spans="2:17" ht="51" x14ac:dyDescent="0.2">
      <c r="B22" s="183"/>
      <c r="C22" s="195"/>
      <c r="D22" s="186"/>
      <c r="E22" s="186"/>
      <c r="F22" s="189"/>
      <c r="G22" s="189"/>
      <c r="H22" s="100" t="s">
        <v>264</v>
      </c>
      <c r="I22" s="110"/>
      <c r="J22" s="118"/>
      <c r="K22" s="112" t="s">
        <v>297</v>
      </c>
      <c r="L22" s="112"/>
      <c r="M22" s="103" t="s">
        <v>298</v>
      </c>
      <c r="N22" s="14"/>
      <c r="O22" s="103"/>
      <c r="P22" s="10"/>
      <c r="Q22" s="106"/>
    </row>
    <row r="23" spans="2:17" ht="51" x14ac:dyDescent="0.2">
      <c r="B23" s="191"/>
      <c r="C23" s="196"/>
      <c r="D23" s="192"/>
      <c r="E23" s="192"/>
      <c r="F23" s="193"/>
      <c r="G23" s="193"/>
      <c r="H23" s="100" t="s">
        <v>267</v>
      </c>
      <c r="I23" s="110"/>
      <c r="J23" s="118"/>
      <c r="K23" s="113" t="s">
        <v>297</v>
      </c>
      <c r="L23" s="113"/>
      <c r="M23" s="103" t="s">
        <v>298</v>
      </c>
      <c r="N23" s="14"/>
      <c r="O23" s="9"/>
      <c r="P23" s="10"/>
      <c r="Q23" s="24"/>
    </row>
    <row r="24" spans="2:17" ht="38.25" x14ac:dyDescent="0.2">
      <c r="B24" s="182">
        <v>4</v>
      </c>
      <c r="C24" s="194" t="str">
        <f>IF(Component4&gt;0,Component4,"")</f>
        <v xml:space="preserve">PROGRAMA / PROJETO COMO UM TODO: Prestação de contas. Não existe mais Fundo Rotativo. </v>
      </c>
      <c r="D24" s="185" t="str">
        <f>+IF(Typeofrisk4&gt;0,Typeofrisk4,"")</f>
        <v>Fiduciários</v>
      </c>
      <c r="E24" s="185" t="str">
        <f>IF(Risk4&gt;0,Risk4,"")</f>
        <v>Inconsistências nas prestações de contas</v>
      </c>
      <c r="F24" s="188">
        <f>+Value4</f>
        <v>2</v>
      </c>
      <c r="G24" s="188" t="str">
        <f>+Level4</f>
        <v>Médio</v>
      </c>
      <c r="H24" s="100" t="s">
        <v>276</v>
      </c>
      <c r="I24" s="111"/>
      <c r="J24" s="111"/>
      <c r="K24" s="117" t="s">
        <v>297</v>
      </c>
      <c r="L24" s="113"/>
      <c r="M24" s="9" t="s">
        <v>292</v>
      </c>
      <c r="N24" s="14"/>
      <c r="O24" s="9"/>
      <c r="P24" s="10"/>
      <c r="Q24" s="24"/>
    </row>
    <row r="25" spans="2:17" ht="63.75" x14ac:dyDescent="0.2">
      <c r="B25" s="183"/>
      <c r="C25" s="195"/>
      <c r="D25" s="186"/>
      <c r="E25" s="186"/>
      <c r="F25" s="189"/>
      <c r="G25" s="189"/>
      <c r="H25" s="101" t="s">
        <v>279</v>
      </c>
      <c r="I25" s="115"/>
      <c r="J25" s="116"/>
      <c r="K25" s="117" t="s">
        <v>297</v>
      </c>
      <c r="L25" s="117"/>
      <c r="M25" s="102" t="s">
        <v>292</v>
      </c>
      <c r="N25" s="104"/>
      <c r="O25" s="102"/>
      <c r="P25" s="17"/>
      <c r="Q25" s="105"/>
    </row>
    <row r="26" spans="2:17" x14ac:dyDescent="0.2">
      <c r="B26" s="183"/>
      <c r="C26" s="195"/>
      <c r="D26" s="186"/>
      <c r="E26" s="186"/>
      <c r="F26" s="189"/>
      <c r="G26" s="189"/>
      <c r="H26" s="100"/>
      <c r="I26" s="110"/>
      <c r="J26" s="118"/>
      <c r="K26" s="112"/>
      <c r="L26" s="112"/>
      <c r="M26" s="103"/>
      <c r="N26" s="14"/>
      <c r="O26" s="103"/>
      <c r="P26" s="10"/>
      <c r="Q26" s="106"/>
    </row>
    <row r="27" spans="2:17" x14ac:dyDescent="0.2">
      <c r="B27" s="191"/>
      <c r="C27" s="196"/>
      <c r="D27" s="192"/>
      <c r="E27" s="192"/>
      <c r="F27" s="193"/>
      <c r="G27" s="193"/>
      <c r="H27" s="5"/>
      <c r="I27" s="110"/>
      <c r="J27" s="118"/>
      <c r="K27" s="113"/>
      <c r="L27" s="113"/>
      <c r="M27" s="9"/>
      <c r="N27" s="14"/>
      <c r="O27" s="9"/>
      <c r="P27" s="10"/>
      <c r="Q27" s="24"/>
    </row>
    <row r="28" spans="2:17" ht="12.75" customHeight="1" x14ac:dyDescent="0.2">
      <c r="B28" s="182">
        <v>5</v>
      </c>
      <c r="C28" s="194" t="str">
        <f>IF(Component5&gt;0,Component5,"")</f>
        <v>PROGRAMA / PROJETOS COMO UM TODO</v>
      </c>
      <c r="D28" s="185" t="str">
        <f>+IF(Typeofrisk5&gt;0,Typeofrisk5,"")</f>
        <v>Reputação</v>
      </c>
      <c r="E28" s="185" t="str">
        <f>IF(Risk5&gt;0,Risk5,"")</f>
        <v>Contingenciamento de recursos</v>
      </c>
      <c r="F28" s="188">
        <f>+Value5</f>
        <v>1</v>
      </c>
      <c r="G28" s="188" t="str">
        <f>+Level5</f>
        <v>Baixo</v>
      </c>
      <c r="H28" s="100" t="s">
        <v>285</v>
      </c>
      <c r="I28" s="111"/>
      <c r="J28" s="111"/>
      <c r="K28" s="119"/>
      <c r="L28" s="113"/>
      <c r="M28" s="9" t="s">
        <v>292</v>
      </c>
      <c r="N28" s="14"/>
      <c r="O28" s="9"/>
      <c r="P28" s="10"/>
      <c r="Q28" s="24"/>
    </row>
    <row r="29" spans="2:17" x14ac:dyDescent="0.2">
      <c r="B29" s="183"/>
      <c r="C29" s="195"/>
      <c r="D29" s="186"/>
      <c r="E29" s="186"/>
      <c r="F29" s="189"/>
      <c r="G29" s="189"/>
      <c r="H29" s="101"/>
      <c r="I29" s="115"/>
      <c r="J29" s="116"/>
      <c r="K29" s="117"/>
      <c r="L29" s="117"/>
      <c r="M29" s="102"/>
      <c r="N29" s="104"/>
      <c r="O29" s="102"/>
      <c r="P29" s="17"/>
      <c r="Q29" s="105"/>
    </row>
    <row r="30" spans="2:17" x14ac:dyDescent="0.2">
      <c r="B30" s="183"/>
      <c r="C30" s="195"/>
      <c r="D30" s="186"/>
      <c r="E30" s="186"/>
      <c r="F30" s="189"/>
      <c r="G30" s="189"/>
      <c r="H30" s="100"/>
      <c r="I30" s="110"/>
      <c r="J30" s="118"/>
      <c r="K30" s="112"/>
      <c r="L30" s="112"/>
      <c r="M30" s="103"/>
      <c r="N30" s="14"/>
      <c r="O30" s="103"/>
      <c r="P30" s="10"/>
      <c r="Q30" s="106"/>
    </row>
    <row r="31" spans="2:17" x14ac:dyDescent="0.2">
      <c r="B31" s="191"/>
      <c r="C31" s="196"/>
      <c r="D31" s="192"/>
      <c r="E31" s="192"/>
      <c r="F31" s="193"/>
      <c r="G31" s="193"/>
      <c r="H31" s="100"/>
      <c r="I31" s="110"/>
      <c r="J31" s="118"/>
      <c r="K31" s="113"/>
      <c r="L31" s="113"/>
      <c r="M31" s="9"/>
      <c r="N31" s="14"/>
      <c r="O31" s="9"/>
      <c r="P31" s="10"/>
      <c r="Q31" s="24"/>
    </row>
    <row r="32" spans="2:17" x14ac:dyDescent="0.2">
      <c r="B32" s="182">
        <v>6</v>
      </c>
      <c r="C32" s="194" t="str">
        <f>IF(Component6&gt;0,Component6,"")</f>
        <v/>
      </c>
      <c r="D32" s="185" t="str">
        <f>+IF(Typeofrisk6&gt;0,Typeofrisk6,"")</f>
        <v/>
      </c>
      <c r="E32" s="185" t="str">
        <f>IF(Risk6&gt;0,Risk6,"")</f>
        <v/>
      </c>
      <c r="F32" s="188">
        <f>+Value6</f>
        <v>1</v>
      </c>
      <c r="G32" s="188" t="str">
        <f>+Level6</f>
        <v>Baixo</v>
      </c>
      <c r="H32" s="100"/>
      <c r="I32" s="111"/>
      <c r="J32" s="111"/>
      <c r="K32" s="119"/>
      <c r="L32" s="113"/>
      <c r="M32" s="113"/>
      <c r="N32" s="14"/>
      <c r="O32" s="9"/>
      <c r="P32" s="10"/>
      <c r="Q32" s="24"/>
    </row>
    <row r="33" spans="2:17" x14ac:dyDescent="0.2">
      <c r="B33" s="183"/>
      <c r="C33" s="195"/>
      <c r="D33" s="186"/>
      <c r="E33" s="186"/>
      <c r="F33" s="189"/>
      <c r="G33" s="189"/>
      <c r="H33" s="101"/>
      <c r="I33" s="115"/>
      <c r="J33" s="116"/>
      <c r="K33" s="117"/>
      <c r="L33" s="117"/>
      <c r="M33" s="102"/>
      <c r="N33" s="104"/>
      <c r="O33" s="102"/>
      <c r="P33" s="17"/>
      <c r="Q33" s="105"/>
    </row>
    <row r="34" spans="2:17" x14ac:dyDescent="0.2">
      <c r="B34" s="183"/>
      <c r="C34" s="195"/>
      <c r="D34" s="186"/>
      <c r="E34" s="186"/>
      <c r="F34" s="189"/>
      <c r="G34" s="189"/>
      <c r="H34" s="100"/>
      <c r="I34" s="110"/>
      <c r="J34" s="118"/>
      <c r="K34" s="112"/>
      <c r="L34" s="112"/>
      <c r="M34" s="103"/>
      <c r="N34" s="14"/>
      <c r="O34" s="103"/>
      <c r="P34" s="10"/>
      <c r="Q34" s="106"/>
    </row>
    <row r="35" spans="2:17" x14ac:dyDescent="0.2">
      <c r="B35" s="191"/>
      <c r="C35" s="196"/>
      <c r="D35" s="192"/>
      <c r="E35" s="192"/>
      <c r="F35" s="193"/>
      <c r="G35" s="193"/>
      <c r="H35" s="5"/>
      <c r="I35" s="110"/>
      <c r="J35" s="118"/>
      <c r="K35" s="113"/>
      <c r="L35" s="113"/>
      <c r="M35" s="9"/>
      <c r="N35" s="14"/>
      <c r="O35" s="9"/>
      <c r="P35" s="10"/>
      <c r="Q35" s="24"/>
    </row>
    <row r="36" spans="2:17" x14ac:dyDescent="0.2">
      <c r="B36" s="182">
        <v>7</v>
      </c>
      <c r="C36" s="194" t="str">
        <f>IF(Component7&gt;0,Component7,"")</f>
        <v/>
      </c>
      <c r="D36" s="185" t="str">
        <f>+IF(Typeofrisk7&gt;0,Typeofrisk7,"")</f>
        <v/>
      </c>
      <c r="E36" s="185" t="str">
        <f>IF(Risk7&gt;0,Risk7,"")</f>
        <v/>
      </c>
      <c r="F36" s="188">
        <f>+Value7</f>
        <v>1</v>
      </c>
      <c r="G36" s="188" t="str">
        <f>+Level7</f>
        <v>Baixo</v>
      </c>
      <c r="H36" s="100"/>
      <c r="I36" s="111"/>
      <c r="J36" s="111"/>
      <c r="K36" s="119"/>
      <c r="L36" s="113"/>
      <c r="M36" s="113"/>
      <c r="N36" s="14"/>
      <c r="O36" s="9"/>
      <c r="P36" s="10"/>
      <c r="Q36" s="24"/>
    </row>
    <row r="37" spans="2:17" x14ac:dyDescent="0.2">
      <c r="B37" s="183"/>
      <c r="C37" s="195"/>
      <c r="D37" s="186"/>
      <c r="E37" s="186"/>
      <c r="F37" s="189"/>
      <c r="G37" s="189"/>
      <c r="H37" s="101"/>
      <c r="I37" s="115"/>
      <c r="J37" s="116"/>
      <c r="K37" s="117"/>
      <c r="L37" s="117"/>
      <c r="M37" s="102"/>
      <c r="N37" s="104"/>
      <c r="O37" s="102"/>
      <c r="P37" s="17"/>
      <c r="Q37" s="105"/>
    </row>
    <row r="38" spans="2:17" x14ac:dyDescent="0.2">
      <c r="B38" s="183"/>
      <c r="C38" s="195"/>
      <c r="D38" s="186"/>
      <c r="E38" s="186"/>
      <c r="F38" s="189"/>
      <c r="G38" s="189"/>
      <c r="H38" s="100"/>
      <c r="I38" s="110"/>
      <c r="J38" s="118"/>
      <c r="K38" s="112"/>
      <c r="L38" s="112"/>
      <c r="M38" s="103"/>
      <c r="N38" s="14"/>
      <c r="O38" s="103"/>
      <c r="P38" s="10"/>
      <c r="Q38" s="106"/>
    </row>
    <row r="39" spans="2:17" x14ac:dyDescent="0.2">
      <c r="B39" s="191"/>
      <c r="C39" s="196"/>
      <c r="D39" s="192"/>
      <c r="E39" s="192"/>
      <c r="F39" s="193"/>
      <c r="G39" s="193"/>
      <c r="H39" s="5"/>
      <c r="I39" s="110"/>
      <c r="J39" s="118"/>
      <c r="K39" s="113"/>
      <c r="L39" s="113"/>
      <c r="M39" s="9"/>
      <c r="N39" s="14"/>
      <c r="O39" s="9"/>
      <c r="P39" s="10"/>
      <c r="Q39" s="24"/>
    </row>
    <row r="40" spans="2:17" x14ac:dyDescent="0.2">
      <c r="B40" s="182">
        <v>8</v>
      </c>
      <c r="C40" s="194" t="str">
        <f>IF(Component8&gt;0,Component8,"")</f>
        <v/>
      </c>
      <c r="D40" s="185" t="str">
        <f>+IF(Typeofrisk8&gt;0,Typeofrisk8,"")</f>
        <v/>
      </c>
      <c r="E40" s="185" t="str">
        <f>IF(Risk8&gt;0,Risk8,"")</f>
        <v/>
      </c>
      <c r="F40" s="188">
        <f>+Value8</f>
        <v>1</v>
      </c>
      <c r="G40" s="188" t="str">
        <f>+Level8</f>
        <v>Baixo</v>
      </c>
      <c r="H40" s="5"/>
      <c r="I40" s="111"/>
      <c r="J40" s="111"/>
      <c r="K40" s="119"/>
      <c r="L40" s="113"/>
      <c r="M40" s="113"/>
      <c r="N40" s="14"/>
      <c r="O40" s="9"/>
      <c r="P40" s="10"/>
      <c r="Q40" s="24"/>
    </row>
    <row r="41" spans="2:17" x14ac:dyDescent="0.2">
      <c r="B41" s="183"/>
      <c r="C41" s="195"/>
      <c r="D41" s="186"/>
      <c r="E41" s="186"/>
      <c r="F41" s="189"/>
      <c r="G41" s="189"/>
      <c r="H41" s="101"/>
      <c r="I41" s="115"/>
      <c r="J41" s="116"/>
      <c r="K41" s="117"/>
      <c r="L41" s="117"/>
      <c r="M41" s="102"/>
      <c r="N41" s="104"/>
      <c r="O41" s="102"/>
      <c r="P41" s="17"/>
      <c r="Q41" s="105"/>
    </row>
    <row r="42" spans="2:17" x14ac:dyDescent="0.2">
      <c r="B42" s="183"/>
      <c r="C42" s="195"/>
      <c r="D42" s="186"/>
      <c r="E42" s="186"/>
      <c r="F42" s="189"/>
      <c r="G42" s="189"/>
      <c r="H42" s="100"/>
      <c r="I42" s="110"/>
      <c r="J42" s="118"/>
      <c r="K42" s="112"/>
      <c r="L42" s="112"/>
      <c r="M42" s="103"/>
      <c r="N42" s="14"/>
      <c r="O42" s="103"/>
      <c r="P42" s="10"/>
      <c r="Q42" s="106"/>
    </row>
    <row r="43" spans="2:17" x14ac:dyDescent="0.2">
      <c r="B43" s="191"/>
      <c r="C43" s="196"/>
      <c r="D43" s="192"/>
      <c r="E43" s="192"/>
      <c r="F43" s="193"/>
      <c r="G43" s="193"/>
      <c r="H43" s="5"/>
      <c r="I43" s="110"/>
      <c r="J43" s="118"/>
      <c r="K43" s="113"/>
      <c r="L43" s="113"/>
      <c r="M43" s="9"/>
      <c r="N43" s="14"/>
      <c r="O43" s="9"/>
      <c r="P43" s="10"/>
      <c r="Q43" s="24"/>
    </row>
    <row r="44" spans="2:17" x14ac:dyDescent="0.2">
      <c r="B44" s="182">
        <v>9</v>
      </c>
      <c r="C44" s="194" t="str">
        <f>IF(Component9&gt;0,Component9,"")</f>
        <v/>
      </c>
      <c r="D44" s="185" t="str">
        <f>+IF(Typeofrisk9&gt;0,Typeofrisk9,"")</f>
        <v/>
      </c>
      <c r="E44" s="185" t="str">
        <f>IF(Risk9&gt;0,Risk9,"")</f>
        <v/>
      </c>
      <c r="F44" s="188">
        <f>+Value9</f>
        <v>1</v>
      </c>
      <c r="G44" s="188" t="str">
        <f>+Level9</f>
        <v>Baixo</v>
      </c>
      <c r="H44" s="5"/>
      <c r="I44" s="111"/>
      <c r="J44" s="111"/>
      <c r="K44" s="119"/>
      <c r="L44" s="113"/>
      <c r="M44" s="113"/>
      <c r="N44" s="14"/>
      <c r="O44" s="9"/>
      <c r="P44" s="10"/>
      <c r="Q44" s="24"/>
    </row>
    <row r="45" spans="2:17" x14ac:dyDescent="0.2">
      <c r="B45" s="183"/>
      <c r="C45" s="195"/>
      <c r="D45" s="186"/>
      <c r="E45" s="186"/>
      <c r="F45" s="189"/>
      <c r="G45" s="189"/>
      <c r="H45" s="101"/>
      <c r="I45" s="115"/>
      <c r="J45" s="116"/>
      <c r="K45" s="117"/>
      <c r="L45" s="117"/>
      <c r="M45" s="102"/>
      <c r="N45" s="104"/>
      <c r="O45" s="102"/>
      <c r="P45" s="17"/>
      <c r="Q45" s="105"/>
    </row>
    <row r="46" spans="2:17" x14ac:dyDescent="0.2">
      <c r="B46" s="183"/>
      <c r="C46" s="195"/>
      <c r="D46" s="186"/>
      <c r="E46" s="186"/>
      <c r="F46" s="189"/>
      <c r="G46" s="189"/>
      <c r="H46" s="100"/>
      <c r="I46" s="110"/>
      <c r="J46" s="118"/>
      <c r="K46" s="112"/>
      <c r="L46" s="112"/>
      <c r="M46" s="103"/>
      <c r="N46" s="14"/>
      <c r="O46" s="103"/>
      <c r="P46" s="10"/>
      <c r="Q46" s="106"/>
    </row>
    <row r="47" spans="2:17" x14ac:dyDescent="0.2">
      <c r="B47" s="191"/>
      <c r="C47" s="196"/>
      <c r="D47" s="192"/>
      <c r="E47" s="192"/>
      <c r="F47" s="193"/>
      <c r="G47" s="193"/>
      <c r="H47" s="5"/>
      <c r="I47" s="110"/>
      <c r="J47" s="118"/>
      <c r="K47" s="113"/>
      <c r="L47" s="113"/>
      <c r="M47" s="9"/>
      <c r="N47" s="14"/>
      <c r="O47" s="9"/>
      <c r="P47" s="10"/>
      <c r="Q47" s="24"/>
    </row>
    <row r="48" spans="2:17" x14ac:dyDescent="0.2">
      <c r="B48" s="182">
        <v>10</v>
      </c>
      <c r="C48" s="194" t="str">
        <f>IF(Component10&gt;0,Component10,"")</f>
        <v/>
      </c>
      <c r="D48" s="185" t="str">
        <f>+IF(Typeofrisk10&gt;0,Typeofrisk10,"")</f>
        <v/>
      </c>
      <c r="E48" s="185" t="str">
        <f>IF(Risk10&gt;0,Risk10,"")</f>
        <v/>
      </c>
      <c r="F48" s="188">
        <f>+Value10</f>
        <v>1</v>
      </c>
      <c r="G48" s="188" t="str">
        <f>+Level10</f>
        <v>Baixo</v>
      </c>
      <c r="H48" s="5"/>
      <c r="I48" s="111"/>
      <c r="J48" s="111"/>
      <c r="K48" s="119"/>
      <c r="L48" s="113"/>
      <c r="M48" s="113"/>
      <c r="N48" s="14"/>
      <c r="O48" s="9"/>
      <c r="P48" s="10"/>
      <c r="Q48" s="24"/>
    </row>
    <row r="49" spans="2:17" x14ac:dyDescent="0.2">
      <c r="B49" s="183"/>
      <c r="C49" s="195"/>
      <c r="D49" s="186"/>
      <c r="E49" s="186"/>
      <c r="F49" s="189"/>
      <c r="G49" s="189"/>
      <c r="H49" s="101"/>
      <c r="I49" s="115"/>
      <c r="J49" s="116"/>
      <c r="K49" s="117"/>
      <c r="L49" s="117"/>
      <c r="M49" s="102"/>
      <c r="N49" s="104"/>
      <c r="O49" s="102"/>
      <c r="P49" s="17"/>
      <c r="Q49" s="105"/>
    </row>
    <row r="50" spans="2:17" x14ac:dyDescent="0.2">
      <c r="B50" s="183"/>
      <c r="C50" s="195"/>
      <c r="D50" s="186"/>
      <c r="E50" s="186"/>
      <c r="F50" s="189"/>
      <c r="G50" s="189"/>
      <c r="H50" s="100"/>
      <c r="I50" s="110"/>
      <c r="J50" s="118"/>
      <c r="K50" s="112"/>
      <c r="L50" s="112"/>
      <c r="M50" s="103"/>
      <c r="N50" s="14"/>
      <c r="O50" s="103"/>
      <c r="P50" s="10"/>
      <c r="Q50" s="106"/>
    </row>
    <row r="51" spans="2:17" x14ac:dyDescent="0.2">
      <c r="B51" s="191"/>
      <c r="C51" s="196"/>
      <c r="D51" s="192"/>
      <c r="E51" s="192"/>
      <c r="F51" s="193"/>
      <c r="G51" s="193"/>
      <c r="H51" s="5"/>
      <c r="I51" s="110"/>
      <c r="J51" s="118"/>
      <c r="K51" s="113"/>
      <c r="L51" s="113"/>
      <c r="M51" s="9"/>
      <c r="N51" s="14"/>
      <c r="O51" s="9"/>
      <c r="P51" s="10"/>
      <c r="Q51" s="24"/>
    </row>
    <row r="52" spans="2:17" x14ac:dyDescent="0.2">
      <c r="B52" s="182">
        <v>11</v>
      </c>
      <c r="C52" s="194" t="str">
        <f>IF(Component11&gt;0,Component11,"")</f>
        <v/>
      </c>
      <c r="D52" s="185" t="str">
        <f>+IF(Typeofrisk11&gt;0,Typeofrisk11,"")</f>
        <v/>
      </c>
      <c r="E52" s="185" t="str">
        <f>IF(Risk11&gt;0,Risk11,"")</f>
        <v/>
      </c>
      <c r="F52" s="188">
        <f>+Value11</f>
        <v>2</v>
      </c>
      <c r="G52" s="188" t="str">
        <f>+Level11</f>
        <v>Médio</v>
      </c>
      <c r="H52" s="5"/>
      <c r="I52" s="111"/>
      <c r="J52" s="111"/>
      <c r="K52" s="119"/>
      <c r="L52" s="113"/>
      <c r="M52" s="113"/>
      <c r="N52" s="14"/>
      <c r="O52" s="9"/>
      <c r="P52" s="10"/>
      <c r="Q52" s="24"/>
    </row>
    <row r="53" spans="2:17" x14ac:dyDescent="0.2">
      <c r="B53" s="183"/>
      <c r="C53" s="195"/>
      <c r="D53" s="186"/>
      <c r="E53" s="186"/>
      <c r="F53" s="189"/>
      <c r="G53" s="189"/>
      <c r="H53" s="4"/>
      <c r="I53" s="9"/>
      <c r="J53" s="9"/>
      <c r="K53" s="10"/>
      <c r="L53" s="10"/>
      <c r="M53" s="9"/>
      <c r="N53" s="14"/>
      <c r="O53" s="9"/>
      <c r="P53" s="10"/>
      <c r="Q53" s="24"/>
    </row>
    <row r="54" spans="2:17" x14ac:dyDescent="0.2">
      <c r="B54" s="183"/>
      <c r="C54" s="195"/>
      <c r="D54" s="186"/>
      <c r="E54" s="186"/>
      <c r="F54" s="189"/>
      <c r="G54" s="189"/>
      <c r="H54" s="4"/>
      <c r="I54" s="9"/>
      <c r="J54" s="9"/>
      <c r="K54" s="10"/>
      <c r="L54" s="10"/>
      <c r="M54" s="9"/>
      <c r="N54" s="14"/>
      <c r="O54" s="9"/>
      <c r="P54" s="10"/>
      <c r="Q54" s="24"/>
    </row>
    <row r="55" spans="2:17" x14ac:dyDescent="0.2">
      <c r="B55" s="191"/>
      <c r="C55" s="196"/>
      <c r="D55" s="192"/>
      <c r="E55" s="192"/>
      <c r="F55" s="193"/>
      <c r="G55" s="193"/>
      <c r="H55" s="4"/>
      <c r="I55" s="9"/>
      <c r="J55" s="9"/>
      <c r="K55" s="10"/>
      <c r="L55" s="10"/>
      <c r="M55" s="9"/>
      <c r="N55" s="14"/>
      <c r="O55" s="9"/>
      <c r="P55" s="10"/>
      <c r="Q55" s="24"/>
    </row>
    <row r="56" spans="2:17" x14ac:dyDescent="0.2">
      <c r="B56" s="182">
        <v>12</v>
      </c>
      <c r="C56" s="194" t="str">
        <f>IF(Component12&gt;0,Component12,"")</f>
        <v/>
      </c>
      <c r="D56" s="185" t="str">
        <f>+IF(Typeofrisk12&gt;0,Typeofrisk12,"")</f>
        <v/>
      </c>
      <c r="E56" s="185" t="str">
        <f>IF(Risk12&gt;0,Risk12,"")</f>
        <v/>
      </c>
      <c r="F56" s="188">
        <f>+Value12</f>
        <v>2</v>
      </c>
      <c r="G56" s="188" t="str">
        <f>+Level12</f>
        <v>Médio</v>
      </c>
      <c r="H56" s="23"/>
      <c r="I56" s="9"/>
      <c r="J56" s="9"/>
      <c r="K56" s="10"/>
      <c r="L56" s="10"/>
      <c r="M56" s="9"/>
      <c r="N56" s="14"/>
      <c r="O56" s="9"/>
      <c r="P56" s="10"/>
      <c r="Q56" s="24"/>
    </row>
    <row r="57" spans="2:17" x14ac:dyDescent="0.2">
      <c r="B57" s="183"/>
      <c r="C57" s="195"/>
      <c r="D57" s="186"/>
      <c r="E57" s="186"/>
      <c r="F57" s="189"/>
      <c r="G57" s="189"/>
      <c r="H57" s="4"/>
      <c r="I57" s="9"/>
      <c r="J57" s="9"/>
      <c r="K57" s="10"/>
      <c r="L57" s="10"/>
      <c r="M57" s="9"/>
      <c r="N57" s="14"/>
      <c r="O57" s="9"/>
      <c r="P57" s="10"/>
      <c r="Q57" s="24"/>
    </row>
    <row r="58" spans="2:17" x14ac:dyDescent="0.2">
      <c r="B58" s="183"/>
      <c r="C58" s="195"/>
      <c r="D58" s="186"/>
      <c r="E58" s="186"/>
      <c r="F58" s="189"/>
      <c r="G58" s="189"/>
      <c r="H58" s="4"/>
      <c r="I58" s="9"/>
      <c r="J58" s="9"/>
      <c r="K58" s="10"/>
      <c r="L58" s="10"/>
      <c r="M58" s="9"/>
      <c r="N58" s="14"/>
      <c r="O58" s="9"/>
      <c r="P58" s="10"/>
      <c r="Q58" s="24"/>
    </row>
    <row r="59" spans="2:17" x14ac:dyDescent="0.2">
      <c r="B59" s="191"/>
      <c r="C59" s="196"/>
      <c r="D59" s="192"/>
      <c r="E59" s="192"/>
      <c r="F59" s="193"/>
      <c r="G59" s="193"/>
      <c r="H59" s="4"/>
      <c r="I59" s="9"/>
      <c r="J59" s="9"/>
      <c r="K59" s="10"/>
      <c r="L59" s="10"/>
      <c r="M59" s="9"/>
      <c r="N59" s="14"/>
      <c r="O59" s="9"/>
      <c r="P59" s="10"/>
      <c r="Q59" s="24"/>
    </row>
    <row r="60" spans="2:17" x14ac:dyDescent="0.2">
      <c r="B60" s="182">
        <v>13</v>
      </c>
      <c r="C60" s="194" t="str">
        <f>IF(Component13&gt;0,Component13,"")</f>
        <v/>
      </c>
      <c r="D60" s="185" t="str">
        <f>+IF(Typeofrisk13&gt;0,Typeofrisk13,"")</f>
        <v/>
      </c>
      <c r="E60" s="185" t="str">
        <f>IF(Risk13&gt;0,Risk13,"")</f>
        <v/>
      </c>
      <c r="F60" s="188">
        <f>+Value13</f>
        <v>2</v>
      </c>
      <c r="G60" s="188" t="str">
        <f>+Level13</f>
        <v>Médio</v>
      </c>
      <c r="H60" s="23"/>
      <c r="I60" s="9"/>
      <c r="J60" s="9"/>
      <c r="K60" s="10"/>
      <c r="L60" s="10"/>
      <c r="M60" s="9"/>
      <c r="N60" s="14"/>
      <c r="O60" s="9"/>
      <c r="P60" s="10"/>
      <c r="Q60" s="24"/>
    </row>
    <row r="61" spans="2:17" x14ac:dyDescent="0.2">
      <c r="B61" s="183"/>
      <c r="C61" s="195"/>
      <c r="D61" s="186"/>
      <c r="E61" s="186"/>
      <c r="F61" s="189"/>
      <c r="G61" s="189"/>
      <c r="H61" s="4"/>
      <c r="I61" s="9"/>
      <c r="J61" s="9"/>
      <c r="K61" s="10"/>
      <c r="L61" s="10"/>
      <c r="M61" s="9"/>
      <c r="N61" s="14"/>
      <c r="O61" s="9"/>
      <c r="P61" s="10"/>
      <c r="Q61" s="24"/>
    </row>
    <row r="62" spans="2:17" x14ac:dyDescent="0.2">
      <c r="B62" s="183"/>
      <c r="C62" s="195"/>
      <c r="D62" s="186"/>
      <c r="E62" s="186"/>
      <c r="F62" s="189"/>
      <c r="G62" s="189"/>
      <c r="H62" s="4"/>
      <c r="I62" s="9"/>
      <c r="J62" s="9"/>
      <c r="K62" s="10"/>
      <c r="L62" s="10"/>
      <c r="M62" s="9"/>
      <c r="N62" s="14"/>
      <c r="O62" s="9"/>
      <c r="P62" s="10"/>
      <c r="Q62" s="24"/>
    </row>
    <row r="63" spans="2:17" x14ac:dyDescent="0.2">
      <c r="B63" s="191"/>
      <c r="C63" s="196"/>
      <c r="D63" s="192"/>
      <c r="E63" s="192"/>
      <c r="F63" s="193"/>
      <c r="G63" s="193"/>
      <c r="H63" s="4"/>
      <c r="I63" s="9"/>
      <c r="J63" s="9"/>
      <c r="K63" s="10"/>
      <c r="L63" s="10"/>
      <c r="M63" s="9"/>
      <c r="N63" s="14"/>
      <c r="O63" s="9"/>
      <c r="P63" s="10"/>
      <c r="Q63" s="24"/>
    </row>
    <row r="64" spans="2:17" x14ac:dyDescent="0.2">
      <c r="B64" s="182">
        <v>14</v>
      </c>
      <c r="C64" s="194" t="str">
        <f>IF(Component14&gt;0,Component14,"")</f>
        <v/>
      </c>
      <c r="D64" s="185" t="str">
        <f>+IF(Typeofrisk14&gt;0,Typeofrisk14,"")</f>
        <v/>
      </c>
      <c r="E64" s="185" t="str">
        <f>IF(Risk14&gt;0,Risk14,"")</f>
        <v/>
      </c>
      <c r="F64" s="188">
        <f>+Value14</f>
        <v>2</v>
      </c>
      <c r="G64" s="188" t="str">
        <f>+Level14</f>
        <v>Médio</v>
      </c>
      <c r="H64" s="23"/>
      <c r="I64" s="9"/>
      <c r="J64" s="9"/>
      <c r="K64" s="10"/>
      <c r="L64" s="10"/>
      <c r="M64" s="9"/>
      <c r="N64" s="14"/>
      <c r="O64" s="9"/>
      <c r="P64" s="10"/>
      <c r="Q64" s="24"/>
    </row>
    <row r="65" spans="2:17" x14ac:dyDescent="0.2">
      <c r="B65" s="183"/>
      <c r="C65" s="195"/>
      <c r="D65" s="186"/>
      <c r="E65" s="186"/>
      <c r="F65" s="189"/>
      <c r="G65" s="189"/>
      <c r="H65" s="4"/>
      <c r="I65" s="9"/>
      <c r="J65" s="9"/>
      <c r="K65" s="10"/>
      <c r="L65" s="10"/>
      <c r="M65" s="9"/>
      <c r="N65" s="14"/>
      <c r="O65" s="9"/>
      <c r="P65" s="10"/>
      <c r="Q65" s="24"/>
    </row>
    <row r="66" spans="2:17" x14ac:dyDescent="0.2">
      <c r="B66" s="183"/>
      <c r="C66" s="195"/>
      <c r="D66" s="186"/>
      <c r="E66" s="186"/>
      <c r="F66" s="189"/>
      <c r="G66" s="189"/>
      <c r="H66" s="4"/>
      <c r="I66" s="9"/>
      <c r="J66" s="9"/>
      <c r="K66" s="10"/>
      <c r="L66" s="10"/>
      <c r="M66" s="9"/>
      <c r="N66" s="14"/>
      <c r="O66" s="9"/>
      <c r="P66" s="10"/>
      <c r="Q66" s="24"/>
    </row>
    <row r="67" spans="2:17" x14ac:dyDescent="0.2">
      <c r="B67" s="191"/>
      <c r="C67" s="196"/>
      <c r="D67" s="192"/>
      <c r="E67" s="192"/>
      <c r="F67" s="193"/>
      <c r="G67" s="193"/>
      <c r="H67" s="4"/>
      <c r="I67" s="9"/>
      <c r="J67" s="9"/>
      <c r="K67" s="10"/>
      <c r="L67" s="10"/>
      <c r="M67" s="9"/>
      <c r="N67" s="14"/>
      <c r="O67" s="9"/>
      <c r="P67" s="10"/>
      <c r="Q67" s="24"/>
    </row>
    <row r="68" spans="2:17" x14ac:dyDescent="0.2">
      <c r="B68" s="182">
        <v>15</v>
      </c>
      <c r="C68" s="194" t="str">
        <f>IF(Component15&gt;0,Component15,"")</f>
        <v/>
      </c>
      <c r="D68" s="185" t="str">
        <f>+IF(Typeofrisk15&gt;0,Typeofrisk15,"")</f>
        <v/>
      </c>
      <c r="E68" s="185" t="str">
        <f>IF(Risk15&gt;0,Risk15,"")</f>
        <v/>
      </c>
      <c r="F68" s="188">
        <f>+Value15</f>
        <v>2</v>
      </c>
      <c r="G68" s="188" t="str">
        <f>+Level15</f>
        <v>Médio</v>
      </c>
      <c r="H68" s="23"/>
      <c r="I68" s="9"/>
      <c r="J68" s="9"/>
      <c r="K68" s="10"/>
      <c r="L68" s="10"/>
      <c r="M68" s="9"/>
      <c r="N68" s="14"/>
      <c r="O68" s="9"/>
      <c r="P68" s="10"/>
      <c r="Q68" s="24"/>
    </row>
    <row r="69" spans="2:17" x14ac:dyDescent="0.2">
      <c r="B69" s="183"/>
      <c r="C69" s="195"/>
      <c r="D69" s="186"/>
      <c r="E69" s="186"/>
      <c r="F69" s="189"/>
      <c r="G69" s="189"/>
      <c r="H69" s="4"/>
      <c r="I69" s="9"/>
      <c r="J69" s="9"/>
      <c r="K69" s="10"/>
      <c r="L69" s="10"/>
      <c r="M69" s="9"/>
      <c r="N69" s="14"/>
      <c r="O69" s="9"/>
      <c r="P69" s="10"/>
      <c r="Q69" s="24"/>
    </row>
    <row r="70" spans="2:17" x14ac:dyDescent="0.2">
      <c r="B70" s="183"/>
      <c r="C70" s="195"/>
      <c r="D70" s="186"/>
      <c r="E70" s="186"/>
      <c r="F70" s="189"/>
      <c r="G70" s="189"/>
      <c r="H70" s="4"/>
      <c r="I70" s="9"/>
      <c r="J70" s="9"/>
      <c r="K70" s="10"/>
      <c r="L70" s="10"/>
      <c r="M70" s="9"/>
      <c r="N70" s="14"/>
      <c r="O70" s="9"/>
      <c r="P70" s="10"/>
      <c r="Q70" s="24"/>
    </row>
    <row r="71" spans="2:17" x14ac:dyDescent="0.2">
      <c r="B71" s="191"/>
      <c r="C71" s="196"/>
      <c r="D71" s="192"/>
      <c r="E71" s="192"/>
      <c r="F71" s="193"/>
      <c r="G71" s="193"/>
      <c r="H71" s="4"/>
      <c r="I71" s="9"/>
      <c r="J71" s="9"/>
      <c r="K71" s="10"/>
      <c r="L71" s="10"/>
      <c r="M71" s="9"/>
      <c r="N71" s="14"/>
      <c r="O71" s="9"/>
      <c r="P71" s="10"/>
      <c r="Q71" s="24"/>
    </row>
    <row r="72" spans="2:17" x14ac:dyDescent="0.2">
      <c r="B72" s="182">
        <v>16</v>
      </c>
      <c r="C72" s="194" t="str">
        <f>IF(Component16&gt;0,Component16,"")</f>
        <v/>
      </c>
      <c r="D72" s="185" t="str">
        <f>+IF(Typeofrisk16&gt;0,Typeofrisk16,"")</f>
        <v/>
      </c>
      <c r="E72" s="185" t="str">
        <f>IF(Risk16&gt;0,Risk16,"")</f>
        <v/>
      </c>
      <c r="F72" s="188">
        <f>+Value16</f>
        <v>2</v>
      </c>
      <c r="G72" s="188" t="str">
        <f>+Level16</f>
        <v>Médio</v>
      </c>
      <c r="H72" s="23"/>
      <c r="I72" s="9"/>
      <c r="J72" s="9"/>
      <c r="K72" s="10"/>
      <c r="L72" s="10"/>
      <c r="M72" s="9"/>
      <c r="N72" s="14"/>
      <c r="O72" s="9"/>
      <c r="P72" s="10"/>
      <c r="Q72" s="24"/>
    </row>
    <row r="73" spans="2:17" x14ac:dyDescent="0.2">
      <c r="B73" s="183"/>
      <c r="C73" s="195"/>
      <c r="D73" s="186"/>
      <c r="E73" s="186"/>
      <c r="F73" s="189"/>
      <c r="G73" s="189"/>
      <c r="H73" s="4"/>
      <c r="I73" s="9"/>
      <c r="J73" s="9"/>
      <c r="K73" s="10"/>
      <c r="L73" s="10"/>
      <c r="M73" s="9"/>
      <c r="N73" s="14"/>
      <c r="O73" s="9"/>
      <c r="P73" s="10"/>
      <c r="Q73" s="24"/>
    </row>
    <row r="74" spans="2:17" x14ac:dyDescent="0.2">
      <c r="B74" s="183"/>
      <c r="C74" s="195"/>
      <c r="D74" s="186"/>
      <c r="E74" s="186"/>
      <c r="F74" s="189"/>
      <c r="G74" s="189"/>
      <c r="H74" s="4"/>
      <c r="I74" s="9"/>
      <c r="J74" s="9"/>
      <c r="K74" s="10"/>
      <c r="L74" s="10"/>
      <c r="M74" s="9"/>
      <c r="N74" s="14"/>
      <c r="O74" s="9"/>
      <c r="P74" s="10"/>
      <c r="Q74" s="24"/>
    </row>
    <row r="75" spans="2:17" x14ac:dyDescent="0.2">
      <c r="B75" s="191"/>
      <c r="C75" s="196"/>
      <c r="D75" s="192"/>
      <c r="E75" s="192"/>
      <c r="F75" s="193"/>
      <c r="G75" s="193"/>
      <c r="H75" s="4"/>
      <c r="I75" s="9"/>
      <c r="J75" s="9"/>
      <c r="K75" s="10"/>
      <c r="L75" s="10"/>
      <c r="M75" s="9"/>
      <c r="N75" s="14"/>
      <c r="O75" s="9"/>
      <c r="P75" s="10"/>
      <c r="Q75" s="24"/>
    </row>
    <row r="76" spans="2:17" x14ac:dyDescent="0.2">
      <c r="B76" s="182">
        <v>17</v>
      </c>
      <c r="C76" s="194" t="str">
        <f>IF(Component17&gt;0,Component17,"")</f>
        <v/>
      </c>
      <c r="D76" s="185" t="str">
        <f>+IF(Typeofrisk17&gt;0,Typeofrisk17,"")</f>
        <v/>
      </c>
      <c r="E76" s="185" t="str">
        <f>IF(Risk17&gt;0,Risk17,"")</f>
        <v/>
      </c>
      <c r="F76" s="188">
        <f>+Value17</f>
        <v>2</v>
      </c>
      <c r="G76" s="188" t="str">
        <f>+Level17</f>
        <v>Médio</v>
      </c>
      <c r="H76" s="23"/>
      <c r="I76" s="9"/>
      <c r="J76" s="9"/>
      <c r="K76" s="10"/>
      <c r="L76" s="10"/>
      <c r="M76" s="9"/>
      <c r="N76" s="14"/>
      <c r="O76" s="9"/>
      <c r="P76" s="10"/>
      <c r="Q76" s="24"/>
    </row>
    <row r="77" spans="2:17" x14ac:dyDescent="0.2">
      <c r="B77" s="183"/>
      <c r="C77" s="195"/>
      <c r="D77" s="186"/>
      <c r="E77" s="186"/>
      <c r="F77" s="189"/>
      <c r="G77" s="189"/>
      <c r="H77" s="4"/>
      <c r="I77" s="9"/>
      <c r="J77" s="9"/>
      <c r="K77" s="10"/>
      <c r="L77" s="10"/>
      <c r="M77" s="9"/>
      <c r="N77" s="14"/>
      <c r="O77" s="9"/>
      <c r="P77" s="10"/>
      <c r="Q77" s="24"/>
    </row>
    <row r="78" spans="2:17" x14ac:dyDescent="0.2">
      <c r="B78" s="183"/>
      <c r="C78" s="195"/>
      <c r="D78" s="186"/>
      <c r="E78" s="186"/>
      <c r="F78" s="189"/>
      <c r="G78" s="189"/>
      <c r="H78" s="4"/>
      <c r="I78" s="9"/>
      <c r="J78" s="9"/>
      <c r="K78" s="10"/>
      <c r="L78" s="10"/>
      <c r="M78" s="9"/>
      <c r="N78" s="14"/>
      <c r="O78" s="9"/>
      <c r="P78" s="10"/>
      <c r="Q78" s="24"/>
    </row>
    <row r="79" spans="2:17" x14ac:dyDescent="0.2">
      <c r="B79" s="191"/>
      <c r="C79" s="196"/>
      <c r="D79" s="192"/>
      <c r="E79" s="192"/>
      <c r="F79" s="193"/>
      <c r="G79" s="193"/>
      <c r="H79" s="4"/>
      <c r="I79" s="9"/>
      <c r="J79" s="9"/>
      <c r="K79" s="10"/>
      <c r="L79" s="10"/>
      <c r="M79" s="9"/>
      <c r="N79" s="14"/>
      <c r="O79" s="9"/>
      <c r="P79" s="10"/>
      <c r="Q79" s="24"/>
    </row>
    <row r="80" spans="2:17" x14ac:dyDescent="0.2">
      <c r="B80" s="182">
        <v>18</v>
      </c>
      <c r="C80" s="194" t="str">
        <f>IF(Component18&gt;0,Component18,"")</f>
        <v/>
      </c>
      <c r="D80" s="185" t="str">
        <f>+IF(Typeofrisk18&gt;0,Typeofrisk18,"")</f>
        <v/>
      </c>
      <c r="E80" s="185" t="str">
        <f>IF(Risk18&gt;0,Risk18,"")</f>
        <v/>
      </c>
      <c r="F80" s="188">
        <f>+Value18</f>
        <v>2</v>
      </c>
      <c r="G80" s="188" t="str">
        <f>+Level18</f>
        <v>Médio</v>
      </c>
      <c r="H80" s="23"/>
      <c r="I80" s="9"/>
      <c r="J80" s="9"/>
      <c r="K80" s="10"/>
      <c r="L80" s="10"/>
      <c r="M80" s="9"/>
      <c r="N80" s="14"/>
      <c r="O80" s="9"/>
      <c r="P80" s="10"/>
      <c r="Q80" s="24"/>
    </row>
    <row r="81" spans="2:17" x14ac:dyDescent="0.2">
      <c r="B81" s="183"/>
      <c r="C81" s="195"/>
      <c r="D81" s="186"/>
      <c r="E81" s="186"/>
      <c r="F81" s="189"/>
      <c r="G81" s="189"/>
      <c r="H81" s="4"/>
      <c r="I81" s="9"/>
      <c r="J81" s="9"/>
      <c r="K81" s="10"/>
      <c r="L81" s="10"/>
      <c r="M81" s="9"/>
      <c r="N81" s="14"/>
      <c r="O81" s="9"/>
      <c r="P81" s="10"/>
      <c r="Q81" s="24"/>
    </row>
    <row r="82" spans="2:17" x14ac:dyDescent="0.2">
      <c r="B82" s="183"/>
      <c r="C82" s="195"/>
      <c r="D82" s="186"/>
      <c r="E82" s="186"/>
      <c r="F82" s="189"/>
      <c r="G82" s="189"/>
      <c r="H82" s="4"/>
      <c r="I82" s="9"/>
      <c r="J82" s="9"/>
      <c r="K82" s="10"/>
      <c r="L82" s="10"/>
      <c r="M82" s="9"/>
      <c r="N82" s="14"/>
      <c r="O82" s="9"/>
      <c r="P82" s="10"/>
      <c r="Q82" s="24"/>
    </row>
    <row r="83" spans="2:17" x14ac:dyDescent="0.2">
      <c r="B83" s="191"/>
      <c r="C83" s="196"/>
      <c r="D83" s="192"/>
      <c r="E83" s="192"/>
      <c r="F83" s="193"/>
      <c r="G83" s="193"/>
      <c r="H83" s="4"/>
      <c r="I83" s="9"/>
      <c r="J83" s="9"/>
      <c r="K83" s="10"/>
      <c r="L83" s="10"/>
      <c r="M83" s="9"/>
      <c r="N83" s="14"/>
      <c r="O83" s="9"/>
      <c r="P83" s="10"/>
      <c r="Q83" s="24"/>
    </row>
    <row r="84" spans="2:17" x14ac:dyDescent="0.2">
      <c r="B84" s="182">
        <v>19</v>
      </c>
      <c r="C84" s="194" t="str">
        <f>IF(Component19&gt;0,Component19,"")</f>
        <v/>
      </c>
      <c r="D84" s="185" t="str">
        <f>+IF(Typeofrisk19&gt;0,Typeofrisk19,"")</f>
        <v/>
      </c>
      <c r="E84" s="185" t="str">
        <f>IF(Risk19&gt;0,Risk19,"")</f>
        <v/>
      </c>
      <c r="F84" s="188">
        <f>+Value19</f>
        <v>2</v>
      </c>
      <c r="G84" s="188" t="str">
        <f>+Level19</f>
        <v>Médio</v>
      </c>
      <c r="H84" s="23"/>
      <c r="I84" s="9"/>
      <c r="J84" s="9"/>
      <c r="K84" s="10"/>
      <c r="L84" s="10"/>
      <c r="M84" s="9"/>
      <c r="N84" s="14"/>
      <c r="O84" s="9"/>
      <c r="P84" s="10"/>
      <c r="Q84" s="24"/>
    </row>
    <row r="85" spans="2:17" x14ac:dyDescent="0.2">
      <c r="B85" s="183"/>
      <c r="C85" s="195"/>
      <c r="D85" s="186"/>
      <c r="E85" s="186"/>
      <c r="F85" s="189"/>
      <c r="G85" s="189"/>
      <c r="H85" s="4"/>
      <c r="I85" s="9"/>
      <c r="J85" s="9"/>
      <c r="K85" s="10"/>
      <c r="L85" s="10"/>
      <c r="M85" s="9"/>
      <c r="N85" s="14"/>
      <c r="O85" s="9"/>
      <c r="P85" s="10"/>
      <c r="Q85" s="24"/>
    </row>
    <row r="86" spans="2:17" x14ac:dyDescent="0.2">
      <c r="B86" s="183"/>
      <c r="C86" s="195"/>
      <c r="D86" s="186"/>
      <c r="E86" s="186"/>
      <c r="F86" s="189"/>
      <c r="G86" s="189"/>
      <c r="H86" s="4"/>
      <c r="I86" s="9"/>
      <c r="J86" s="9"/>
      <c r="K86" s="10"/>
      <c r="L86" s="10"/>
      <c r="M86" s="9"/>
      <c r="N86" s="14"/>
      <c r="O86" s="9"/>
      <c r="P86" s="10"/>
      <c r="Q86" s="24"/>
    </row>
    <row r="87" spans="2:17" x14ac:dyDescent="0.2">
      <c r="B87" s="191"/>
      <c r="C87" s="196"/>
      <c r="D87" s="192"/>
      <c r="E87" s="192"/>
      <c r="F87" s="193"/>
      <c r="G87" s="193"/>
      <c r="H87" s="4"/>
      <c r="I87" s="9"/>
      <c r="J87" s="9"/>
      <c r="K87" s="10"/>
      <c r="L87" s="10"/>
      <c r="M87" s="9"/>
      <c r="N87" s="14"/>
      <c r="O87" s="9"/>
      <c r="P87" s="10"/>
      <c r="Q87" s="24"/>
    </row>
    <row r="88" spans="2:17" x14ac:dyDescent="0.2">
      <c r="B88" s="182">
        <v>20</v>
      </c>
      <c r="C88" s="194" t="str">
        <f>IF(Component20&gt;0,Component20,"")</f>
        <v/>
      </c>
      <c r="D88" s="185" t="str">
        <f>+IF(Typeofrisk20&gt;0,Typeofrisk20,"")</f>
        <v/>
      </c>
      <c r="E88" s="185" t="str">
        <f>IF(Risk20&gt;0,Risk20,"")</f>
        <v/>
      </c>
      <c r="F88" s="188">
        <f>+Value20</f>
        <v>2</v>
      </c>
      <c r="G88" s="188" t="str">
        <f>+Level20</f>
        <v>Médio</v>
      </c>
      <c r="H88" s="23"/>
      <c r="I88" s="9"/>
      <c r="J88" s="9"/>
      <c r="K88" s="10"/>
      <c r="L88" s="10"/>
      <c r="M88" s="9"/>
      <c r="N88" s="14"/>
      <c r="O88" s="9"/>
      <c r="P88" s="10"/>
      <c r="Q88" s="24"/>
    </row>
    <row r="89" spans="2:17" x14ac:dyDescent="0.2">
      <c r="B89" s="183"/>
      <c r="C89" s="195"/>
      <c r="D89" s="186"/>
      <c r="E89" s="186"/>
      <c r="F89" s="189"/>
      <c r="G89" s="189"/>
      <c r="H89" s="4"/>
      <c r="I89" s="9"/>
      <c r="J89" s="9"/>
      <c r="K89" s="10"/>
      <c r="L89" s="10"/>
      <c r="M89" s="9"/>
      <c r="N89" s="14"/>
      <c r="O89" s="9"/>
      <c r="P89" s="10"/>
      <c r="Q89" s="24"/>
    </row>
    <row r="90" spans="2:17" x14ac:dyDescent="0.2">
      <c r="B90" s="183"/>
      <c r="C90" s="195"/>
      <c r="D90" s="186"/>
      <c r="E90" s="186"/>
      <c r="F90" s="189"/>
      <c r="G90" s="189"/>
      <c r="H90" s="4"/>
      <c r="I90" s="9"/>
      <c r="J90" s="9"/>
      <c r="K90" s="10"/>
      <c r="L90" s="10"/>
      <c r="M90" s="9"/>
      <c r="N90" s="14"/>
      <c r="O90" s="9"/>
      <c r="P90" s="10"/>
      <c r="Q90" s="24"/>
    </row>
    <row r="91" spans="2:17" ht="13.5" thickBot="1" x14ac:dyDescent="0.25">
      <c r="B91" s="184"/>
      <c r="C91" s="197"/>
      <c r="D91" s="187"/>
      <c r="E91" s="187"/>
      <c r="F91" s="190"/>
      <c r="G91" s="190"/>
      <c r="H91" s="25"/>
      <c r="I91" s="26"/>
      <c r="J91" s="26"/>
      <c r="K91" s="27"/>
      <c r="L91" s="27"/>
      <c r="M91" s="26"/>
      <c r="N91" s="28"/>
      <c r="O91" s="26"/>
      <c r="P91" s="27"/>
      <c r="Q91" s="29"/>
    </row>
    <row r="92" spans="2:17" x14ac:dyDescent="0.2">
      <c r="B92" s="84"/>
      <c r="C92" s="85"/>
    </row>
    <row r="93" spans="2:17" x14ac:dyDescent="0.2">
      <c r="B93" s="84"/>
      <c r="C93" s="85"/>
      <c r="E93" s="77"/>
    </row>
    <row r="94" spans="2:17" x14ac:dyDescent="0.2">
      <c r="B94" s="84"/>
      <c r="C94" s="85"/>
      <c r="N94" s="107"/>
    </row>
    <row r="95" spans="2:17" x14ac:dyDescent="0.2">
      <c r="N95" s="77"/>
    </row>
  </sheetData>
  <sheetProtection selectLockedCells="1"/>
  <mergeCells count="137">
    <mergeCell ref="B2:Q2"/>
    <mergeCell ref="B3:Q3"/>
    <mergeCell ref="B5:Q5"/>
    <mergeCell ref="E9:E11"/>
    <mergeCell ref="C9:C11"/>
    <mergeCell ref="M10:N10"/>
    <mergeCell ref="F9:G10"/>
    <mergeCell ref="H10:H11"/>
    <mergeCell ref="I10:I11"/>
    <mergeCell ref="J10:J11"/>
    <mergeCell ref="K10:K11"/>
    <mergeCell ref="L10:L11"/>
    <mergeCell ref="O10:O11"/>
    <mergeCell ref="P10:Q10"/>
    <mergeCell ref="H9:Q9"/>
    <mergeCell ref="B12:B15"/>
    <mergeCell ref="E12:E15"/>
    <mergeCell ref="F12:F15"/>
    <mergeCell ref="D9:D11"/>
    <mergeCell ref="B9:B11"/>
    <mergeCell ref="G12:G15"/>
    <mergeCell ref="D12:D15"/>
    <mergeCell ref="F20:F23"/>
    <mergeCell ref="G20:G23"/>
    <mergeCell ref="F16:F19"/>
    <mergeCell ref="G16:G19"/>
    <mergeCell ref="B20:B23"/>
    <mergeCell ref="E20:E23"/>
    <mergeCell ref="D20:D23"/>
    <mergeCell ref="B16:B19"/>
    <mergeCell ref="E16:E19"/>
    <mergeCell ref="D16:D19"/>
    <mergeCell ref="C12:C15"/>
    <mergeCell ref="C16:C19"/>
    <mergeCell ref="C20:C23"/>
    <mergeCell ref="B24:B27"/>
    <mergeCell ref="E24:E27"/>
    <mergeCell ref="F24:F27"/>
    <mergeCell ref="G24:G27"/>
    <mergeCell ref="D24:D27"/>
    <mergeCell ref="B28:B31"/>
    <mergeCell ref="E28:E31"/>
    <mergeCell ref="F28:F31"/>
    <mergeCell ref="G28:G31"/>
    <mergeCell ref="D28:D31"/>
    <mergeCell ref="C24:C27"/>
    <mergeCell ref="C28:C31"/>
    <mergeCell ref="B32:B35"/>
    <mergeCell ref="E32:E35"/>
    <mergeCell ref="F32:F35"/>
    <mergeCell ref="G32:G35"/>
    <mergeCell ref="D32:D35"/>
    <mergeCell ref="B36:B39"/>
    <mergeCell ref="E36:E39"/>
    <mergeCell ref="F36:F39"/>
    <mergeCell ref="G36:G39"/>
    <mergeCell ref="D36:D39"/>
    <mergeCell ref="C32:C35"/>
    <mergeCell ref="C36:C39"/>
    <mergeCell ref="B40:B43"/>
    <mergeCell ref="E40:E43"/>
    <mergeCell ref="F40:F43"/>
    <mergeCell ref="G40:G43"/>
    <mergeCell ref="D40:D43"/>
    <mergeCell ref="B44:B47"/>
    <mergeCell ref="E44:E47"/>
    <mergeCell ref="F44:F47"/>
    <mergeCell ref="G44:G47"/>
    <mergeCell ref="D44:D47"/>
    <mergeCell ref="C40:C43"/>
    <mergeCell ref="C44:C47"/>
    <mergeCell ref="B48:B51"/>
    <mergeCell ref="E48:E51"/>
    <mergeCell ref="F48:F51"/>
    <mergeCell ref="G48:G51"/>
    <mergeCell ref="D48:D51"/>
    <mergeCell ref="B52:B55"/>
    <mergeCell ref="E52:E55"/>
    <mergeCell ref="F52:F55"/>
    <mergeCell ref="G52:G55"/>
    <mergeCell ref="D52:D55"/>
    <mergeCell ref="C48:C51"/>
    <mergeCell ref="C52:C55"/>
    <mergeCell ref="B56:B59"/>
    <mergeCell ref="E56:E59"/>
    <mergeCell ref="F56:F59"/>
    <mergeCell ref="G56:G59"/>
    <mergeCell ref="D56:D59"/>
    <mergeCell ref="B60:B63"/>
    <mergeCell ref="E60:E63"/>
    <mergeCell ref="F60:F63"/>
    <mergeCell ref="G60:G63"/>
    <mergeCell ref="D60:D63"/>
    <mergeCell ref="C56:C59"/>
    <mergeCell ref="C60:C63"/>
    <mergeCell ref="B64:B67"/>
    <mergeCell ref="E64:E67"/>
    <mergeCell ref="F64:F67"/>
    <mergeCell ref="G64:G67"/>
    <mergeCell ref="D64:D67"/>
    <mergeCell ref="B68:B71"/>
    <mergeCell ref="E68:E71"/>
    <mergeCell ref="F68:F71"/>
    <mergeCell ref="G68:G71"/>
    <mergeCell ref="D68:D71"/>
    <mergeCell ref="C64:C67"/>
    <mergeCell ref="C68:C71"/>
    <mergeCell ref="E72:E75"/>
    <mergeCell ref="F72:F75"/>
    <mergeCell ref="G72:G75"/>
    <mergeCell ref="D72:D75"/>
    <mergeCell ref="B76:B79"/>
    <mergeCell ref="E76:E79"/>
    <mergeCell ref="F76:F79"/>
    <mergeCell ref="G76:G79"/>
    <mergeCell ref="D76:D79"/>
    <mergeCell ref="B72:B75"/>
    <mergeCell ref="C72:C75"/>
    <mergeCell ref="C76:C79"/>
    <mergeCell ref="B88:B91"/>
    <mergeCell ref="E88:E91"/>
    <mergeCell ref="F88:F91"/>
    <mergeCell ref="G88:G91"/>
    <mergeCell ref="D88:D91"/>
    <mergeCell ref="B80:B83"/>
    <mergeCell ref="E80:E83"/>
    <mergeCell ref="F80:F83"/>
    <mergeCell ref="G80:G83"/>
    <mergeCell ref="D80:D83"/>
    <mergeCell ref="B84:B87"/>
    <mergeCell ref="E84:E87"/>
    <mergeCell ref="F84:F87"/>
    <mergeCell ref="G84:G87"/>
    <mergeCell ref="D84:D87"/>
    <mergeCell ref="C80:C83"/>
    <mergeCell ref="C84:C87"/>
    <mergeCell ref="C88:C91"/>
  </mergeCells>
  <phoneticPr fontId="0" type="noConversion"/>
  <conditionalFormatting sqref="F12:F91">
    <cfRule type="cellIs" dxfId="17" priority="59" stopIfTrue="1" operator="notBetween">
      <formula>1</formula>
      <formula>3</formula>
    </cfRule>
    <cfRule type="expression" dxfId="16" priority="60" stopIfTrue="1">
      <formula>$F12=3</formula>
    </cfRule>
    <cfRule type="expression" dxfId="15" priority="61" stopIfTrue="1">
      <formula>$F12=2</formula>
    </cfRule>
    <cfRule type="expression" dxfId="14" priority="62" stopIfTrue="1">
      <formula>$F12=1</formula>
    </cfRule>
  </conditionalFormatting>
  <conditionalFormatting sqref="G12:G91">
    <cfRule type="cellIs" dxfId="13" priority="55" stopIfTrue="1" operator="equal">
      <formula>"Alto"</formula>
    </cfRule>
    <cfRule type="cellIs" dxfId="12" priority="56" stopIfTrue="1" operator="equal">
      <formula>"Medio"</formula>
    </cfRule>
    <cfRule type="cellIs" dxfId="11" priority="57" stopIfTrue="1" operator="equal">
      <formula>"Bajo"</formula>
    </cfRule>
    <cfRule type="cellIs" dxfId="10" priority="58" stopIfTrue="1" operator="equal">
      <formula>""</formula>
    </cfRule>
  </conditionalFormatting>
  <conditionalFormatting sqref="H60:Q63">
    <cfRule type="expression" dxfId="9" priority="39">
      <formula>$F$60=1</formula>
    </cfRule>
  </conditionalFormatting>
  <conditionalFormatting sqref="H68:Q71">
    <cfRule type="expression" dxfId="8" priority="37">
      <formula>$F$68=1</formula>
    </cfRule>
  </conditionalFormatting>
  <conditionalFormatting sqref="H53:Q55">
    <cfRule type="expression" dxfId="7" priority="23">
      <formula>$F$52=1</formula>
    </cfRule>
  </conditionalFormatting>
  <conditionalFormatting sqref="H56:Q59">
    <cfRule type="expression" dxfId="6" priority="22">
      <formula>$F$56=1</formula>
    </cfRule>
  </conditionalFormatting>
  <conditionalFormatting sqref="H64:Q67">
    <cfRule type="expression" dxfId="5" priority="20">
      <formula>$F$64=1</formula>
    </cfRule>
  </conditionalFormatting>
  <conditionalFormatting sqref="H72:Q75">
    <cfRule type="expression" dxfId="4" priority="18">
      <formula>$F$72=1</formula>
    </cfRule>
  </conditionalFormatting>
  <conditionalFormatting sqref="H76:Q79">
    <cfRule type="expression" dxfId="3" priority="17">
      <formula>$F$76=1</formula>
    </cfRule>
  </conditionalFormatting>
  <conditionalFormatting sqref="H80:Q83">
    <cfRule type="expression" dxfId="2" priority="16">
      <formula>$F$80=1</formula>
    </cfRule>
  </conditionalFormatting>
  <conditionalFormatting sqref="H84:Q87">
    <cfRule type="expression" dxfId="1" priority="15">
      <formula>$F$84=1</formula>
    </cfRule>
  </conditionalFormatting>
  <conditionalFormatting sqref="H88:Q91">
    <cfRule type="expression" dxfId="0" priority="14">
      <formula>$F$88=1</formula>
    </cfRule>
  </conditionalFormatting>
  <dataValidations count="1">
    <dataValidation type="list" allowBlank="1" showInputMessage="1" showErrorMessage="1" sqref="N12:N91">
      <formula1>$N$94:$N$95</formula1>
    </dataValidation>
  </dataValidations>
  <printOptions horizontalCentered="1"/>
  <pageMargins left="0.23622047244094499" right="0.23622047244094499" top="0.47244094488188998" bottom="0.47244094488188998" header="0.31496062992126" footer="0.31496062992126"/>
  <pageSetup scale="60" orientation="landscape" r:id="rId1"/>
  <headerFooter alignWithMargins="0">
    <oddFooter>&amp;L&amp;"Arial Narrow,Regular"&amp;F&amp;R&amp;"Arial Narrow,Regular"Página  &amp;P  de  &amp;N</oddFooter>
  </headerFooter>
  <rowBreaks count="1" manualBreakCount="1">
    <brk id="51" min="1" max="16" man="1"/>
  </rowBreaks>
  <ignoredErrors>
    <ignoredError sqref="C12:E91" unlocked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B200"/>
  <sheetViews>
    <sheetView topLeftCell="A175" workbookViewId="0">
      <selection activeCell="B173" sqref="B173"/>
    </sheetView>
  </sheetViews>
  <sheetFormatPr defaultColWidth="9.140625" defaultRowHeight="12.75" x14ac:dyDescent="0.2"/>
  <cols>
    <col min="1" max="1" width="30.42578125" style="32" bestFit="1" customWidth="1"/>
    <col min="2" max="2" width="45" style="13" customWidth="1"/>
    <col min="3" max="3" width="15.5703125" style="13" customWidth="1"/>
    <col min="4" max="4" width="18.5703125" style="13" customWidth="1"/>
    <col min="5" max="16384" width="9.140625" style="13"/>
  </cols>
  <sheetData>
    <row r="1" spans="1:2" ht="20.25" x14ac:dyDescent="0.3">
      <c r="A1" s="38" t="s">
        <v>23</v>
      </c>
    </row>
    <row r="3" spans="1:2" ht="15.75" x14ac:dyDescent="0.25">
      <c r="A3" s="37" t="s">
        <v>24</v>
      </c>
    </row>
    <row r="5" spans="1:2" x14ac:dyDescent="0.2">
      <c r="A5" s="39" t="s">
        <v>27</v>
      </c>
      <c r="B5" s="33" t="s">
        <v>28</v>
      </c>
    </row>
    <row r="7" spans="1:2" x14ac:dyDescent="0.2">
      <c r="B7" s="34" t="s">
        <v>47</v>
      </c>
    </row>
    <row r="8" spans="1:2" x14ac:dyDescent="0.2">
      <c r="B8" s="34" t="s">
        <v>48</v>
      </c>
    </row>
    <row r="9" spans="1:2" x14ac:dyDescent="0.2">
      <c r="B9" s="34" t="s">
        <v>49</v>
      </c>
    </row>
    <row r="10" spans="1:2" x14ac:dyDescent="0.2">
      <c r="B10" s="34" t="s">
        <v>50</v>
      </c>
    </row>
    <row r="11" spans="1:2" x14ac:dyDescent="0.2">
      <c r="B11" s="34" t="s">
        <v>51</v>
      </c>
    </row>
    <row r="12" spans="1:2" x14ac:dyDescent="0.2">
      <c r="B12" s="34" t="s">
        <v>52</v>
      </c>
    </row>
    <row r="13" spans="1:2" x14ac:dyDescent="0.2">
      <c r="B13" s="34" t="s">
        <v>53</v>
      </c>
    </row>
    <row r="14" spans="1:2" x14ac:dyDescent="0.2">
      <c r="B14" s="34" t="s">
        <v>54</v>
      </c>
    </row>
    <row r="15" spans="1:2" x14ac:dyDescent="0.2">
      <c r="B15" s="34" t="s">
        <v>55</v>
      </c>
    </row>
    <row r="16" spans="1:2" x14ac:dyDescent="0.2">
      <c r="B16" s="34" t="s">
        <v>56</v>
      </c>
    </row>
    <row r="17" spans="1:2" x14ac:dyDescent="0.2">
      <c r="B17" s="34" t="s">
        <v>57</v>
      </c>
    </row>
    <row r="18" spans="1:2" x14ac:dyDescent="0.2">
      <c r="B18" s="34" t="s">
        <v>58</v>
      </c>
    </row>
    <row r="19" spans="1:2" x14ac:dyDescent="0.2">
      <c r="B19" s="34" t="s">
        <v>59</v>
      </c>
    </row>
    <row r="20" spans="1:2" x14ac:dyDescent="0.2">
      <c r="B20" s="34" t="s">
        <v>60</v>
      </c>
    </row>
    <row r="21" spans="1:2" x14ac:dyDescent="0.2">
      <c r="B21" s="34" t="s">
        <v>61</v>
      </c>
    </row>
    <row r="22" spans="1:2" x14ac:dyDescent="0.2">
      <c r="B22" s="34" t="s">
        <v>62</v>
      </c>
    </row>
    <row r="23" spans="1:2" x14ac:dyDescent="0.2">
      <c r="B23" s="34" t="s">
        <v>63</v>
      </c>
    </row>
    <row r="24" spans="1:2" x14ac:dyDescent="0.2">
      <c r="B24" s="34" t="s">
        <v>64</v>
      </c>
    </row>
    <row r="25" spans="1:2" x14ac:dyDescent="0.2">
      <c r="B25" s="34" t="s">
        <v>65</v>
      </c>
    </row>
    <row r="26" spans="1:2" x14ac:dyDescent="0.2">
      <c r="B26" s="34" t="s">
        <v>66</v>
      </c>
    </row>
    <row r="28" spans="1:2" x14ac:dyDescent="0.2">
      <c r="A28" s="39" t="s">
        <v>29</v>
      </c>
      <c r="B28" s="33" t="s">
        <v>30</v>
      </c>
    </row>
    <row r="30" spans="1:2" x14ac:dyDescent="0.2">
      <c r="B30" s="34" t="s">
        <v>87</v>
      </c>
    </row>
    <row r="31" spans="1:2" x14ac:dyDescent="0.2">
      <c r="B31" s="34" t="s">
        <v>88</v>
      </c>
    </row>
    <row r="32" spans="1:2" x14ac:dyDescent="0.2">
      <c r="B32" s="34" t="s">
        <v>89</v>
      </c>
    </row>
    <row r="33" spans="2:2" x14ac:dyDescent="0.2">
      <c r="B33" s="34" t="s">
        <v>90</v>
      </c>
    </row>
    <row r="34" spans="2:2" x14ac:dyDescent="0.2">
      <c r="B34" s="34" t="s">
        <v>91</v>
      </c>
    </row>
    <row r="35" spans="2:2" x14ac:dyDescent="0.2">
      <c r="B35" s="34" t="s">
        <v>92</v>
      </c>
    </row>
    <row r="36" spans="2:2" x14ac:dyDescent="0.2">
      <c r="B36" s="34" t="s">
        <v>93</v>
      </c>
    </row>
    <row r="37" spans="2:2" x14ac:dyDescent="0.2">
      <c r="B37" s="34" t="s">
        <v>94</v>
      </c>
    </row>
    <row r="38" spans="2:2" x14ac:dyDescent="0.2">
      <c r="B38" s="34" t="s">
        <v>95</v>
      </c>
    </row>
    <row r="39" spans="2:2" x14ac:dyDescent="0.2">
      <c r="B39" s="34" t="s">
        <v>96</v>
      </c>
    </row>
    <row r="40" spans="2:2" x14ac:dyDescent="0.2">
      <c r="B40" s="34" t="s">
        <v>97</v>
      </c>
    </row>
    <row r="41" spans="2:2" x14ac:dyDescent="0.2">
      <c r="B41" s="34" t="s">
        <v>98</v>
      </c>
    </row>
    <row r="42" spans="2:2" x14ac:dyDescent="0.2">
      <c r="B42" s="34" t="s">
        <v>99</v>
      </c>
    </row>
    <row r="43" spans="2:2" x14ac:dyDescent="0.2">
      <c r="B43" s="34" t="s">
        <v>100</v>
      </c>
    </row>
    <row r="44" spans="2:2" x14ac:dyDescent="0.2">
      <c r="B44" s="34" t="s">
        <v>101</v>
      </c>
    </row>
    <row r="45" spans="2:2" x14ac:dyDescent="0.2">
      <c r="B45" s="34" t="s">
        <v>102</v>
      </c>
    </row>
    <row r="46" spans="2:2" x14ac:dyDescent="0.2">
      <c r="B46" s="34" t="s">
        <v>103</v>
      </c>
    </row>
    <row r="47" spans="2:2" x14ac:dyDescent="0.2">
      <c r="B47" s="34" t="s">
        <v>104</v>
      </c>
    </row>
    <row r="48" spans="2:2" x14ac:dyDescent="0.2">
      <c r="B48" s="34" t="s">
        <v>105</v>
      </c>
    </row>
    <row r="49" spans="1:2" x14ac:dyDescent="0.2">
      <c r="B49" s="34" t="s">
        <v>106</v>
      </c>
    </row>
    <row r="51" spans="1:2" x14ac:dyDescent="0.2">
      <c r="A51" s="39" t="s">
        <v>25</v>
      </c>
      <c r="B51" s="33" t="s">
        <v>26</v>
      </c>
    </row>
    <row r="53" spans="1:2" x14ac:dyDescent="0.2">
      <c r="B53" s="36" t="s">
        <v>67</v>
      </c>
    </row>
    <row r="54" spans="1:2" x14ac:dyDescent="0.2">
      <c r="B54" s="34" t="s">
        <v>68</v>
      </c>
    </row>
    <row r="55" spans="1:2" x14ac:dyDescent="0.2">
      <c r="B55" s="36" t="s">
        <v>69</v>
      </c>
    </row>
    <row r="56" spans="1:2" x14ac:dyDescent="0.2">
      <c r="B56" s="34" t="s">
        <v>70</v>
      </c>
    </row>
    <row r="57" spans="1:2" x14ac:dyDescent="0.2">
      <c r="B57" s="36" t="s">
        <v>71</v>
      </c>
    </row>
    <row r="58" spans="1:2" x14ac:dyDescent="0.2">
      <c r="B58" s="34" t="s">
        <v>72</v>
      </c>
    </row>
    <row r="59" spans="1:2" x14ac:dyDescent="0.2">
      <c r="B59" s="36" t="s">
        <v>73</v>
      </c>
    </row>
    <row r="60" spans="1:2" x14ac:dyDescent="0.2">
      <c r="B60" s="34" t="s">
        <v>74</v>
      </c>
    </row>
    <row r="61" spans="1:2" x14ac:dyDescent="0.2">
      <c r="B61" s="36" t="s">
        <v>75</v>
      </c>
    </row>
    <row r="62" spans="1:2" x14ac:dyDescent="0.2">
      <c r="B62" s="34" t="s">
        <v>76</v>
      </c>
    </row>
    <row r="63" spans="1:2" x14ac:dyDescent="0.2">
      <c r="B63" s="36" t="s">
        <v>77</v>
      </c>
    </row>
    <row r="64" spans="1:2" x14ac:dyDescent="0.2">
      <c r="B64" s="34" t="s">
        <v>78</v>
      </c>
    </row>
    <row r="65" spans="1:2" x14ac:dyDescent="0.2">
      <c r="B65" s="36" t="s">
        <v>79</v>
      </c>
    </row>
    <row r="66" spans="1:2" x14ac:dyDescent="0.2">
      <c r="B66" s="34" t="s">
        <v>80</v>
      </c>
    </row>
    <row r="67" spans="1:2" x14ac:dyDescent="0.2">
      <c r="B67" s="36" t="s">
        <v>81</v>
      </c>
    </row>
    <row r="68" spans="1:2" x14ac:dyDescent="0.2">
      <c r="B68" s="34" t="s">
        <v>82</v>
      </c>
    </row>
    <row r="69" spans="1:2" x14ac:dyDescent="0.2">
      <c r="B69" s="36" t="s">
        <v>83</v>
      </c>
    </row>
    <row r="70" spans="1:2" x14ac:dyDescent="0.2">
      <c r="B70" s="34" t="s">
        <v>84</v>
      </c>
    </row>
    <row r="71" spans="1:2" x14ac:dyDescent="0.2">
      <c r="B71" s="36" t="s">
        <v>85</v>
      </c>
    </row>
    <row r="72" spans="1:2" x14ac:dyDescent="0.2">
      <c r="B72" s="34" t="s">
        <v>86</v>
      </c>
    </row>
    <row r="74" spans="1:2" x14ac:dyDescent="0.2">
      <c r="A74" s="39" t="s">
        <v>34</v>
      </c>
      <c r="B74" s="33" t="s">
        <v>33</v>
      </c>
    </row>
    <row r="76" spans="1:2" x14ac:dyDescent="0.2">
      <c r="A76" s="39" t="s">
        <v>32</v>
      </c>
      <c r="B76" s="33" t="s">
        <v>31</v>
      </c>
    </row>
    <row r="78" spans="1:2" x14ac:dyDescent="0.2">
      <c r="A78" s="39" t="s">
        <v>35</v>
      </c>
      <c r="B78" s="33" t="s">
        <v>36</v>
      </c>
    </row>
    <row r="80" spans="1:2" x14ac:dyDescent="0.2">
      <c r="B80" s="34" t="s">
        <v>107</v>
      </c>
    </row>
    <row r="81" spans="2:2" x14ac:dyDescent="0.2">
      <c r="B81" s="34" t="s">
        <v>108</v>
      </c>
    </row>
    <row r="82" spans="2:2" x14ac:dyDescent="0.2">
      <c r="B82" s="34" t="s">
        <v>109</v>
      </c>
    </row>
    <row r="83" spans="2:2" x14ac:dyDescent="0.2">
      <c r="B83" s="34" t="s">
        <v>110</v>
      </c>
    </row>
    <row r="84" spans="2:2" x14ac:dyDescent="0.2">
      <c r="B84" s="34" t="s">
        <v>111</v>
      </c>
    </row>
    <row r="85" spans="2:2" x14ac:dyDescent="0.2">
      <c r="B85" s="34" t="s">
        <v>112</v>
      </c>
    </row>
    <row r="86" spans="2:2" x14ac:dyDescent="0.2">
      <c r="B86" s="34" t="s">
        <v>113</v>
      </c>
    </row>
    <row r="87" spans="2:2" x14ac:dyDescent="0.2">
      <c r="B87" s="34" t="s">
        <v>114</v>
      </c>
    </row>
    <row r="88" spans="2:2" x14ac:dyDescent="0.2">
      <c r="B88" s="34" t="s">
        <v>115</v>
      </c>
    </row>
    <row r="89" spans="2:2" x14ac:dyDescent="0.2">
      <c r="B89" s="34" t="s">
        <v>116</v>
      </c>
    </row>
    <row r="90" spans="2:2" x14ac:dyDescent="0.2">
      <c r="B90" s="34" t="s">
        <v>117</v>
      </c>
    </row>
    <row r="91" spans="2:2" x14ac:dyDescent="0.2">
      <c r="B91" s="34" t="s">
        <v>118</v>
      </c>
    </row>
    <row r="92" spans="2:2" x14ac:dyDescent="0.2">
      <c r="B92" s="34" t="s">
        <v>119</v>
      </c>
    </row>
    <row r="93" spans="2:2" x14ac:dyDescent="0.2">
      <c r="B93" s="34" t="s">
        <v>120</v>
      </c>
    </row>
    <row r="94" spans="2:2" x14ac:dyDescent="0.2">
      <c r="B94" s="34" t="s">
        <v>121</v>
      </c>
    </row>
    <row r="95" spans="2:2" x14ac:dyDescent="0.2">
      <c r="B95" s="34" t="s">
        <v>122</v>
      </c>
    </row>
    <row r="96" spans="2:2" x14ac:dyDescent="0.2">
      <c r="B96" s="34" t="s">
        <v>123</v>
      </c>
    </row>
    <row r="97" spans="1:2" x14ac:dyDescent="0.2">
      <c r="B97" s="34" t="s">
        <v>124</v>
      </c>
    </row>
    <row r="98" spans="1:2" x14ac:dyDescent="0.2">
      <c r="B98" s="34" t="s">
        <v>125</v>
      </c>
    </row>
    <row r="99" spans="1:2" x14ac:dyDescent="0.2">
      <c r="B99" s="34" t="s">
        <v>126</v>
      </c>
    </row>
    <row r="101" spans="1:2" x14ac:dyDescent="0.2">
      <c r="A101" s="39" t="s">
        <v>37</v>
      </c>
      <c r="B101" s="33" t="s">
        <v>38</v>
      </c>
    </row>
    <row r="103" spans="1:2" x14ac:dyDescent="0.2">
      <c r="B103" s="34" t="s">
        <v>127</v>
      </c>
    </row>
    <row r="104" spans="1:2" x14ac:dyDescent="0.2">
      <c r="B104" s="34" t="s">
        <v>128</v>
      </c>
    </row>
    <row r="105" spans="1:2" x14ac:dyDescent="0.2">
      <c r="B105" s="34" t="s">
        <v>129</v>
      </c>
    </row>
    <row r="106" spans="1:2" x14ac:dyDescent="0.2">
      <c r="B106" s="34" t="s">
        <v>130</v>
      </c>
    </row>
    <row r="107" spans="1:2" x14ac:dyDescent="0.2">
      <c r="B107" s="34" t="s">
        <v>131</v>
      </c>
    </row>
    <row r="108" spans="1:2" x14ac:dyDescent="0.2">
      <c r="B108" s="34" t="s">
        <v>132</v>
      </c>
    </row>
    <row r="109" spans="1:2" x14ac:dyDescent="0.2">
      <c r="B109" s="34" t="s">
        <v>133</v>
      </c>
    </row>
    <row r="110" spans="1:2" x14ac:dyDescent="0.2">
      <c r="B110" s="34" t="s">
        <v>134</v>
      </c>
    </row>
    <row r="111" spans="1:2" x14ac:dyDescent="0.2">
      <c r="B111" s="34" t="s">
        <v>135</v>
      </c>
    </row>
    <row r="112" spans="1:2" x14ac:dyDescent="0.2">
      <c r="B112" s="34" t="s">
        <v>136</v>
      </c>
    </row>
    <row r="113" spans="1:2" x14ac:dyDescent="0.2">
      <c r="B113" s="34" t="s">
        <v>137</v>
      </c>
    </row>
    <row r="114" spans="1:2" x14ac:dyDescent="0.2">
      <c r="B114" s="34" t="s">
        <v>138</v>
      </c>
    </row>
    <row r="115" spans="1:2" x14ac:dyDescent="0.2">
      <c r="B115" s="34" t="s">
        <v>139</v>
      </c>
    </row>
    <row r="116" spans="1:2" x14ac:dyDescent="0.2">
      <c r="B116" s="34" t="s">
        <v>140</v>
      </c>
    </row>
    <row r="117" spans="1:2" x14ac:dyDescent="0.2">
      <c r="B117" s="34" t="s">
        <v>141</v>
      </c>
    </row>
    <row r="118" spans="1:2" x14ac:dyDescent="0.2">
      <c r="B118" s="34" t="s">
        <v>142</v>
      </c>
    </row>
    <row r="119" spans="1:2" x14ac:dyDescent="0.2">
      <c r="B119" s="34" t="s">
        <v>143</v>
      </c>
    </row>
    <row r="120" spans="1:2" x14ac:dyDescent="0.2">
      <c r="B120" s="34" t="s">
        <v>144</v>
      </c>
    </row>
    <row r="121" spans="1:2" x14ac:dyDescent="0.2">
      <c r="B121" s="34" t="s">
        <v>145</v>
      </c>
    </row>
    <row r="122" spans="1:2" x14ac:dyDescent="0.2">
      <c r="B122" s="34" t="s">
        <v>146</v>
      </c>
    </row>
    <row r="124" spans="1:2" x14ac:dyDescent="0.2">
      <c r="A124" s="39" t="s">
        <v>40</v>
      </c>
      <c r="B124" s="33" t="s">
        <v>39</v>
      </c>
    </row>
    <row r="126" spans="1:2" x14ac:dyDescent="0.2">
      <c r="A126" s="39" t="s">
        <v>43</v>
      </c>
      <c r="B126" s="33" t="s">
        <v>42</v>
      </c>
    </row>
    <row r="128" spans="1:2" x14ac:dyDescent="0.2">
      <c r="B128" s="34" t="s">
        <v>147</v>
      </c>
    </row>
    <row r="129" spans="2:2" x14ac:dyDescent="0.2">
      <c r="B129" s="34" t="s">
        <v>148</v>
      </c>
    </row>
    <row r="130" spans="2:2" x14ac:dyDescent="0.2">
      <c r="B130" s="34" t="s">
        <v>149</v>
      </c>
    </row>
    <row r="131" spans="2:2" x14ac:dyDescent="0.2">
      <c r="B131" s="34" t="s">
        <v>150</v>
      </c>
    </row>
    <row r="132" spans="2:2" x14ac:dyDescent="0.2">
      <c r="B132" s="34" t="s">
        <v>151</v>
      </c>
    </row>
    <row r="133" spans="2:2" x14ac:dyDescent="0.2">
      <c r="B133" s="34" t="s">
        <v>152</v>
      </c>
    </row>
    <row r="134" spans="2:2" x14ac:dyDescent="0.2">
      <c r="B134" s="34" t="s">
        <v>153</v>
      </c>
    </row>
    <row r="135" spans="2:2" x14ac:dyDescent="0.2">
      <c r="B135" s="34" t="s">
        <v>154</v>
      </c>
    </row>
    <row r="136" spans="2:2" x14ac:dyDescent="0.2">
      <c r="B136" s="34" t="s">
        <v>155</v>
      </c>
    </row>
    <row r="137" spans="2:2" x14ac:dyDescent="0.2">
      <c r="B137" s="34" t="s">
        <v>156</v>
      </c>
    </row>
    <row r="138" spans="2:2" x14ac:dyDescent="0.2">
      <c r="B138" s="34" t="s">
        <v>157</v>
      </c>
    </row>
    <row r="139" spans="2:2" x14ac:dyDescent="0.2">
      <c r="B139" s="34" t="s">
        <v>158</v>
      </c>
    </row>
    <row r="140" spans="2:2" x14ac:dyDescent="0.2">
      <c r="B140" s="34" t="s">
        <v>159</v>
      </c>
    </row>
    <row r="141" spans="2:2" x14ac:dyDescent="0.2">
      <c r="B141" s="34" t="s">
        <v>160</v>
      </c>
    </row>
    <row r="142" spans="2:2" x14ac:dyDescent="0.2">
      <c r="B142" s="34" t="s">
        <v>161</v>
      </c>
    </row>
    <row r="143" spans="2:2" x14ac:dyDescent="0.2">
      <c r="B143" s="34" t="s">
        <v>162</v>
      </c>
    </row>
    <row r="144" spans="2:2" x14ac:dyDescent="0.2">
      <c r="B144" s="34" t="s">
        <v>163</v>
      </c>
    </row>
    <row r="145" spans="1:2" x14ac:dyDescent="0.2">
      <c r="B145" s="34" t="s">
        <v>164</v>
      </c>
    </row>
    <row r="146" spans="1:2" x14ac:dyDescent="0.2">
      <c r="B146" s="34" t="s">
        <v>165</v>
      </c>
    </row>
    <row r="147" spans="1:2" x14ac:dyDescent="0.2">
      <c r="B147" s="34" t="s">
        <v>166</v>
      </c>
    </row>
    <row r="149" spans="1:2" x14ac:dyDescent="0.2">
      <c r="A149" s="39" t="s">
        <v>44</v>
      </c>
      <c r="B149" s="33" t="s">
        <v>41</v>
      </c>
    </row>
    <row r="151" spans="1:2" x14ac:dyDescent="0.2">
      <c r="B151" s="34" t="s">
        <v>167</v>
      </c>
    </row>
    <row r="152" spans="1:2" x14ac:dyDescent="0.2">
      <c r="B152" s="34" t="s">
        <v>168</v>
      </c>
    </row>
    <row r="153" spans="1:2" x14ac:dyDescent="0.2">
      <c r="B153" s="34" t="s">
        <v>169</v>
      </c>
    </row>
    <row r="154" spans="1:2" x14ac:dyDescent="0.2">
      <c r="B154" s="34" t="s">
        <v>170</v>
      </c>
    </row>
    <row r="155" spans="1:2" x14ac:dyDescent="0.2">
      <c r="B155" s="34" t="s">
        <v>171</v>
      </c>
    </row>
    <row r="156" spans="1:2" x14ac:dyDescent="0.2">
      <c r="B156" s="34" t="s">
        <v>172</v>
      </c>
    </row>
    <row r="157" spans="1:2" x14ac:dyDescent="0.2">
      <c r="B157" s="34" t="s">
        <v>173</v>
      </c>
    </row>
    <row r="158" spans="1:2" x14ac:dyDescent="0.2">
      <c r="B158" s="34" t="s">
        <v>174</v>
      </c>
    </row>
    <row r="159" spans="1:2" x14ac:dyDescent="0.2">
      <c r="B159" s="34" t="s">
        <v>175</v>
      </c>
    </row>
    <row r="160" spans="1:2" x14ac:dyDescent="0.2">
      <c r="B160" s="34" t="s">
        <v>176</v>
      </c>
    </row>
    <row r="161" spans="1:2" x14ac:dyDescent="0.2">
      <c r="B161" s="34" t="s">
        <v>177</v>
      </c>
    </row>
    <row r="162" spans="1:2" x14ac:dyDescent="0.2">
      <c r="B162" s="34" t="s">
        <v>178</v>
      </c>
    </row>
    <row r="163" spans="1:2" x14ac:dyDescent="0.2">
      <c r="B163" s="34" t="s">
        <v>179</v>
      </c>
    </row>
    <row r="164" spans="1:2" x14ac:dyDescent="0.2">
      <c r="B164" s="34" t="s">
        <v>180</v>
      </c>
    </row>
    <row r="165" spans="1:2" x14ac:dyDescent="0.2">
      <c r="B165" s="34" t="s">
        <v>181</v>
      </c>
    </row>
    <row r="166" spans="1:2" x14ac:dyDescent="0.2">
      <c r="B166" s="34" t="s">
        <v>182</v>
      </c>
    </row>
    <row r="167" spans="1:2" x14ac:dyDescent="0.2">
      <c r="B167" s="34" t="s">
        <v>183</v>
      </c>
    </row>
    <row r="168" spans="1:2" x14ac:dyDescent="0.2">
      <c r="B168" s="34" t="s">
        <v>184</v>
      </c>
    </row>
    <row r="169" spans="1:2" x14ac:dyDescent="0.2">
      <c r="B169" s="34" t="s">
        <v>185</v>
      </c>
    </row>
    <row r="170" spans="1:2" x14ac:dyDescent="0.2">
      <c r="B170" s="34" t="s">
        <v>186</v>
      </c>
    </row>
    <row r="173" spans="1:2" x14ac:dyDescent="0.2">
      <c r="A173" s="39" t="s">
        <v>45</v>
      </c>
      <c r="B173" s="35" t="s">
        <v>188</v>
      </c>
    </row>
    <row r="175" spans="1:2" x14ac:dyDescent="0.2">
      <c r="A175" s="39" t="s">
        <v>189</v>
      </c>
      <c r="B175" s="33" t="s">
        <v>190</v>
      </c>
    </row>
    <row r="177" spans="1:2" x14ac:dyDescent="0.2">
      <c r="A177" s="39" t="s">
        <v>191</v>
      </c>
      <c r="B177" s="35" t="s">
        <v>192</v>
      </c>
    </row>
    <row r="179" spans="1:2" x14ac:dyDescent="0.2">
      <c r="A179" s="39" t="s">
        <v>193</v>
      </c>
      <c r="B179" s="35" t="s">
        <v>195</v>
      </c>
    </row>
    <row r="181" spans="1:2" x14ac:dyDescent="0.2">
      <c r="A181" s="39" t="s">
        <v>194</v>
      </c>
      <c r="B181" s="35" t="s">
        <v>196</v>
      </c>
    </row>
    <row r="183" spans="1:2" x14ac:dyDescent="0.2">
      <c r="A183" s="39" t="s">
        <v>197</v>
      </c>
      <c r="B183" s="35" t="s">
        <v>198</v>
      </c>
    </row>
    <row r="185" spans="1:2" x14ac:dyDescent="0.2">
      <c r="A185" s="39" t="s">
        <v>199</v>
      </c>
      <c r="B185" s="35" t="s">
        <v>200</v>
      </c>
    </row>
    <row r="187" spans="1:2" x14ac:dyDescent="0.2">
      <c r="A187" s="39" t="s">
        <v>201</v>
      </c>
      <c r="B187" s="35" t="s">
        <v>202</v>
      </c>
    </row>
    <row r="189" spans="1:2" x14ac:dyDescent="0.2">
      <c r="A189" s="39" t="s">
        <v>46</v>
      </c>
      <c r="B189" s="35" t="s">
        <v>203</v>
      </c>
    </row>
    <row r="191" spans="1:2" x14ac:dyDescent="0.2">
      <c r="A191" s="39" t="s">
        <v>204</v>
      </c>
      <c r="B191" s="35" t="s">
        <v>205</v>
      </c>
    </row>
    <row r="193" spans="1:2" x14ac:dyDescent="0.2">
      <c r="A193" s="39" t="s">
        <v>206</v>
      </c>
      <c r="B193" s="35" t="s">
        <v>207</v>
      </c>
    </row>
    <row r="194" spans="1:2" ht="13.5" x14ac:dyDescent="0.25">
      <c r="A194" s="30"/>
    </row>
    <row r="195" spans="1:2" ht="13.5" x14ac:dyDescent="0.25">
      <c r="A195" s="30"/>
    </row>
    <row r="196" spans="1:2" ht="13.5" x14ac:dyDescent="0.25">
      <c r="A196" s="30"/>
    </row>
    <row r="197" spans="1:2" ht="13.5" x14ac:dyDescent="0.25">
      <c r="A197" s="30"/>
    </row>
    <row r="198" spans="1:2" ht="13.5" x14ac:dyDescent="0.25">
      <c r="A198" s="31"/>
    </row>
    <row r="200" spans="1:2" ht="13.5" x14ac:dyDescent="0.25">
      <c r="A200" s="30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147</vt:i4>
      </vt:variant>
    </vt:vector>
  </HeadingPairs>
  <TitlesOfParts>
    <vt:vector size="151" baseType="lpstr">
      <vt:lpstr>RRF</vt:lpstr>
      <vt:lpstr>MER</vt:lpstr>
      <vt:lpstr>MMR</vt:lpstr>
      <vt:lpstr>Settings</vt:lpstr>
      <vt:lpstr>MER!Area_de_impressao</vt:lpstr>
      <vt:lpstr>MMR!Area_de_impressao</vt:lpstr>
      <vt:lpstr>RRF!Area_de_impressao</vt:lpstr>
      <vt:lpstr>Component1</vt:lpstr>
      <vt:lpstr>Component10</vt:lpstr>
      <vt:lpstr>Component11</vt:lpstr>
      <vt:lpstr>Component12</vt:lpstr>
      <vt:lpstr>Component13</vt:lpstr>
      <vt:lpstr>Component14</vt:lpstr>
      <vt:lpstr>Component15</vt:lpstr>
      <vt:lpstr>Component16</vt:lpstr>
      <vt:lpstr>Component17</vt:lpstr>
      <vt:lpstr>Component18</vt:lpstr>
      <vt:lpstr>Component19</vt:lpstr>
      <vt:lpstr>Component2</vt:lpstr>
      <vt:lpstr>Component20</vt:lpstr>
      <vt:lpstr>Component3</vt:lpstr>
      <vt:lpstr>Component4</vt:lpstr>
      <vt:lpstr>Component5</vt:lpstr>
      <vt:lpstr>Component6</vt:lpstr>
      <vt:lpstr>Component7</vt:lpstr>
      <vt:lpstr>Component8</vt:lpstr>
      <vt:lpstr>Component9</vt:lpstr>
      <vt:lpstr>Impact1</vt:lpstr>
      <vt:lpstr>Impact10</vt:lpstr>
      <vt:lpstr>Impact11</vt:lpstr>
      <vt:lpstr>Impact12</vt:lpstr>
      <vt:lpstr>Impact13</vt:lpstr>
      <vt:lpstr>Impact14</vt:lpstr>
      <vt:lpstr>Impact15</vt:lpstr>
      <vt:lpstr>Impact16</vt:lpstr>
      <vt:lpstr>Impact17</vt:lpstr>
      <vt:lpstr>Impact18</vt:lpstr>
      <vt:lpstr>Impact19</vt:lpstr>
      <vt:lpstr>Impact2</vt:lpstr>
      <vt:lpstr>Impact20</vt:lpstr>
      <vt:lpstr>Impact3</vt:lpstr>
      <vt:lpstr>Impact4</vt:lpstr>
      <vt:lpstr>Impact5</vt:lpstr>
      <vt:lpstr>Impact6</vt:lpstr>
      <vt:lpstr>Impact7</vt:lpstr>
      <vt:lpstr>Impact8</vt:lpstr>
      <vt:lpstr>Impact9</vt:lpstr>
      <vt:lpstr>Level1</vt:lpstr>
      <vt:lpstr>Level10</vt:lpstr>
      <vt:lpstr>Level11</vt:lpstr>
      <vt:lpstr>Level12</vt:lpstr>
      <vt:lpstr>Level13</vt:lpstr>
      <vt:lpstr>Level14</vt:lpstr>
      <vt:lpstr>Level15</vt:lpstr>
      <vt:lpstr>Level16</vt:lpstr>
      <vt:lpstr>Level17</vt:lpstr>
      <vt:lpstr>Level18</vt:lpstr>
      <vt:lpstr>Level19</vt:lpstr>
      <vt:lpstr>Level2</vt:lpstr>
      <vt:lpstr>Level20</vt:lpstr>
      <vt:lpstr>Level3</vt:lpstr>
      <vt:lpstr>Level4</vt:lpstr>
      <vt:lpstr>Level5</vt:lpstr>
      <vt:lpstr>Level6</vt:lpstr>
      <vt:lpstr>Level7</vt:lpstr>
      <vt:lpstr>Level8</vt:lpstr>
      <vt:lpstr>Level9</vt:lpstr>
      <vt:lpstr>RRF!OLE_LINK1</vt:lpstr>
      <vt:lpstr>Probability1</vt:lpstr>
      <vt:lpstr>Probability10</vt:lpstr>
      <vt:lpstr>Probability11</vt:lpstr>
      <vt:lpstr>Probability12</vt:lpstr>
      <vt:lpstr>Probability13</vt:lpstr>
      <vt:lpstr>Probability14</vt:lpstr>
      <vt:lpstr>Probability15</vt:lpstr>
      <vt:lpstr>Probability16</vt:lpstr>
      <vt:lpstr>Probability17</vt:lpstr>
      <vt:lpstr>Probability18</vt:lpstr>
      <vt:lpstr>Probability19</vt:lpstr>
      <vt:lpstr>Probability2</vt:lpstr>
      <vt:lpstr>Probability20</vt:lpstr>
      <vt:lpstr>Probability3</vt:lpstr>
      <vt:lpstr>Probability4</vt:lpstr>
      <vt:lpstr>Probability5</vt:lpstr>
      <vt:lpstr>Probability6</vt:lpstr>
      <vt:lpstr>Probability7</vt:lpstr>
      <vt:lpstr>Probability8</vt:lpstr>
      <vt:lpstr>Probability9</vt:lpstr>
      <vt:lpstr>Risk1</vt:lpstr>
      <vt:lpstr>Risk10</vt:lpstr>
      <vt:lpstr>Risk11</vt:lpstr>
      <vt:lpstr>Risk12</vt:lpstr>
      <vt:lpstr>Risk13</vt:lpstr>
      <vt:lpstr>Risk14</vt:lpstr>
      <vt:lpstr>Risk15</vt:lpstr>
      <vt:lpstr>Risk16</vt:lpstr>
      <vt:lpstr>Risk17</vt:lpstr>
      <vt:lpstr>Risk18</vt:lpstr>
      <vt:lpstr>Risk19</vt:lpstr>
      <vt:lpstr>Risk2</vt:lpstr>
      <vt:lpstr>Risk20</vt:lpstr>
      <vt:lpstr>Risk3</vt:lpstr>
      <vt:lpstr>Risk4</vt:lpstr>
      <vt:lpstr>Risk5</vt:lpstr>
      <vt:lpstr>Risk6</vt:lpstr>
      <vt:lpstr>Risk7</vt:lpstr>
      <vt:lpstr>Risk8</vt:lpstr>
      <vt:lpstr>Risk9</vt:lpstr>
      <vt:lpstr>MER!Titulos_de_impressao</vt:lpstr>
      <vt:lpstr>MMR!Titulos_de_impressao</vt:lpstr>
      <vt:lpstr>RRF!Titulos_de_impressao</vt:lpstr>
      <vt:lpstr>Typeofrisk1</vt:lpstr>
      <vt:lpstr>Typeofrisk10</vt:lpstr>
      <vt:lpstr>Typeofrisk11</vt:lpstr>
      <vt:lpstr>Typeofrisk12</vt:lpstr>
      <vt:lpstr>Typeofrisk13</vt:lpstr>
      <vt:lpstr>Typeofrisk14</vt:lpstr>
      <vt:lpstr>Typeofrisk15</vt:lpstr>
      <vt:lpstr>Typeofrisk16</vt:lpstr>
      <vt:lpstr>Typeofrisk17</vt:lpstr>
      <vt:lpstr>Typeofrisk18</vt:lpstr>
      <vt:lpstr>Typeofrisk19</vt:lpstr>
      <vt:lpstr>Typeofrisk2</vt:lpstr>
      <vt:lpstr>Typeofrisk20</vt:lpstr>
      <vt:lpstr>Typeofrisk3</vt:lpstr>
      <vt:lpstr>Typeofrisk4</vt:lpstr>
      <vt:lpstr>Typeofrisk5</vt:lpstr>
      <vt:lpstr>Typeofrisk6</vt:lpstr>
      <vt:lpstr>Typeofrisk7</vt:lpstr>
      <vt:lpstr>Typeofrisk8</vt:lpstr>
      <vt:lpstr>Typeofrisk9</vt:lpstr>
      <vt:lpstr>Value1</vt:lpstr>
      <vt:lpstr>Value10</vt:lpstr>
      <vt:lpstr>Value11</vt:lpstr>
      <vt:lpstr>Value12</vt:lpstr>
      <vt:lpstr>Value13</vt:lpstr>
      <vt:lpstr>Value14</vt:lpstr>
      <vt:lpstr>Value15</vt:lpstr>
      <vt:lpstr>Value16</vt:lpstr>
      <vt:lpstr>Value17</vt:lpstr>
      <vt:lpstr>Value18</vt:lpstr>
      <vt:lpstr>Value19</vt:lpstr>
      <vt:lpstr>Value2</vt:lpstr>
      <vt:lpstr>Value20</vt:lpstr>
      <vt:lpstr>Value3</vt:lpstr>
      <vt:lpstr>Value4</vt:lpstr>
      <vt:lpstr>Value5</vt:lpstr>
      <vt:lpstr>Value6</vt:lpstr>
      <vt:lpstr>Value7</vt:lpstr>
      <vt:lpstr>Value8</vt:lpstr>
      <vt:lpstr>Value9</vt:lpstr>
    </vt:vector>
  </TitlesOfParts>
  <Company>Banco Interamericano de Desarrollo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GRP Anexo No. 6</dc:title>
  <dc:creator>Jorge Quinteros VPC/PDP </dc:creator>
  <cp:lastModifiedBy>Luciana</cp:lastModifiedBy>
  <cp:lastPrinted>2010-02-04T17:01:30Z</cp:lastPrinted>
  <dcterms:created xsi:type="dcterms:W3CDTF">2008-01-14T22:04:09Z</dcterms:created>
  <dcterms:modified xsi:type="dcterms:W3CDTF">2014-07-25T14:57:39Z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