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5.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66925"/>
  <mc:AlternateContent xmlns:mc="http://schemas.openxmlformats.org/markup-compatibility/2006">
    <mc:Choice Requires="x15">
      <x15ac:absPath xmlns:x15ac="http://schemas.microsoft.com/office/spreadsheetml/2010/11/ac" url="https://idbg.sharepoint.com/teams/EZ-CO-LON/CO-L1251/15 LifeCycle Milestones/"/>
    </mc:Choice>
  </mc:AlternateContent>
  <xr:revisionPtr revIDLastSave="2" documentId="13_ncr:1_{82961110-308A-40C5-8A10-6EBD7BEA87F2}" xr6:coauthVersionLast="44" xr6:coauthVersionMax="44" xr10:uidLastSave="{73A1E804-280F-4E8D-A768-3FFC44517365}"/>
  <bookViews>
    <workbookView xWindow="-108" yWindow="-108" windowWidth="23256" windowHeight="12576" activeTab="4" xr2:uid="{00000000-000D-0000-FFFF-FFFF00000000}"/>
  </bookViews>
  <sheets>
    <sheet name="Tablero de Control" sheetId="5" r:id="rId1"/>
    <sheet name="CBA" sheetId="1" r:id="rId2"/>
    <sheet name="Beneficios" sheetId="2" r:id="rId3"/>
    <sheet name="Costos" sheetId="3" r:id="rId4"/>
    <sheet name="Supuestos" sheetId="4"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2" l="1"/>
  <c r="C9" i="3"/>
  <c r="C21" i="5"/>
  <c r="C23" i="2"/>
  <c r="C16" i="2"/>
  <c r="C15" i="2"/>
  <c r="C12" i="2"/>
  <c r="C13" i="2"/>
  <c r="C11" i="2"/>
  <c r="C12" i="1"/>
  <c r="C11" i="1"/>
  <c r="C9" i="1"/>
  <c r="C7" i="1"/>
  <c r="C6" i="1"/>
  <c r="B49" i="4"/>
  <c r="C49" i="4"/>
  <c r="D49" i="4"/>
  <c r="C13" i="5"/>
  <c r="C7" i="2"/>
  <c r="D19" i="5"/>
  <c r="D20" i="5"/>
  <c r="C10" i="5"/>
  <c r="C10" i="1"/>
  <c r="D8" i="5"/>
  <c r="C17" i="2"/>
  <c r="B64" i="3"/>
  <c r="C8" i="3"/>
  <c r="C30" i="3"/>
  <c r="C31" i="3"/>
  <c r="C33" i="3"/>
  <c r="C35" i="3"/>
  <c r="C37" i="3"/>
  <c r="C58" i="3"/>
  <c r="D30" i="3"/>
  <c r="D32" i="3"/>
  <c r="D35" i="3"/>
  <c r="D60" i="3"/>
  <c r="D37" i="3"/>
  <c r="D58" i="3"/>
  <c r="E31" i="3"/>
  <c r="E33" i="3"/>
  <c r="E35" i="3"/>
  <c r="E37" i="3"/>
  <c r="E58" i="3"/>
  <c r="F30" i="3"/>
  <c r="F32" i="3"/>
  <c r="F35" i="3"/>
  <c r="F60" i="3"/>
  <c r="F37" i="3"/>
  <c r="F58" i="3"/>
  <c r="G31" i="3"/>
  <c r="G33" i="3"/>
  <c r="G35" i="3"/>
  <c r="G37" i="3"/>
  <c r="G58" i="3"/>
  <c r="C41" i="3"/>
  <c r="C40" i="3"/>
  <c r="C43" i="3"/>
  <c r="C45" i="3"/>
  <c r="C47" i="3"/>
  <c r="C50" i="3"/>
  <c r="D41" i="3"/>
  <c r="D40" i="3"/>
  <c r="D44" i="3"/>
  <c r="D46" i="3"/>
  <c r="D48" i="3"/>
  <c r="D51" i="3"/>
  <c r="E43" i="3"/>
  <c r="E45" i="3"/>
  <c r="E47" i="3"/>
  <c r="E50" i="3"/>
  <c r="F43" i="3"/>
  <c r="F45" i="3"/>
  <c r="F47" i="3"/>
  <c r="F51" i="3"/>
  <c r="G44" i="3"/>
  <c r="G46" i="3"/>
  <c r="G48" i="3"/>
  <c r="G65" i="3"/>
  <c r="G51" i="3"/>
  <c r="A67" i="3"/>
  <c r="A52" i="3"/>
  <c r="C60" i="3"/>
  <c r="E60" i="3"/>
  <c r="G60" i="3"/>
  <c r="C63" i="3"/>
  <c r="D63" i="3"/>
  <c r="D65" i="3"/>
  <c r="B67" i="3"/>
  <c r="B66" i="3"/>
  <c r="B56" i="3"/>
  <c r="B65" i="3"/>
  <c r="B63" i="3"/>
  <c r="B60" i="3"/>
  <c r="B59" i="3"/>
  <c r="B58" i="3"/>
  <c r="B57" i="3"/>
  <c r="C9" i="2"/>
  <c r="C14" i="2"/>
  <c r="D10" i="2"/>
  <c r="E68" i="1"/>
  <c r="J68" i="1"/>
  <c r="D68" i="1"/>
  <c r="I68" i="1"/>
  <c r="C68" i="1"/>
  <c r="H68" i="1"/>
  <c r="B12" i="4"/>
  <c r="D51" i="4"/>
  <c r="C51" i="4"/>
  <c r="B51" i="4"/>
  <c r="B3" i="3"/>
  <c r="B3" i="4" s="1"/>
  <c r="B10" i="4"/>
  <c r="B9" i="4"/>
  <c r="B8" i="4"/>
  <c r="B7" i="4"/>
  <c r="D29" i="2"/>
  <c r="B78" i="3"/>
  <c r="D7" i="1"/>
  <c r="M52" i="1"/>
  <c r="M62" i="1"/>
  <c r="M69" i="3"/>
  <c r="M24" i="3"/>
  <c r="M18" i="3"/>
  <c r="M71" i="3"/>
  <c r="D7" i="3"/>
  <c r="B76" i="3"/>
  <c r="D14" i="2"/>
  <c r="D9" i="2"/>
  <c r="D6" i="2"/>
  <c r="B53" i="2"/>
  <c r="M57" i="1"/>
  <c r="C6" i="2"/>
  <c r="L52" i="1"/>
  <c r="K52" i="1"/>
  <c r="K62" i="1"/>
  <c r="J52" i="1"/>
  <c r="I52" i="1"/>
  <c r="I62" i="1"/>
  <c r="H52" i="1"/>
  <c r="G52" i="1"/>
  <c r="G62" i="1"/>
  <c r="F52" i="1"/>
  <c r="E52" i="1"/>
  <c r="E62" i="1"/>
  <c r="D52" i="1"/>
  <c r="C52" i="1"/>
  <c r="C62" i="1"/>
  <c r="N62" i="1"/>
  <c r="L62" i="1"/>
  <c r="J62" i="1"/>
  <c r="H62" i="1"/>
  <c r="F62" i="1"/>
  <c r="D62" i="1"/>
  <c r="C30" i="2"/>
  <c r="C7" i="3"/>
  <c r="C8" i="2"/>
  <c r="N69" i="3"/>
  <c r="L69" i="3"/>
  <c r="K69" i="3"/>
  <c r="J69" i="3"/>
  <c r="I69" i="3"/>
  <c r="H69" i="3"/>
  <c r="C29" i="2"/>
  <c r="C57" i="1"/>
  <c r="E57" i="1"/>
  <c r="G57" i="1"/>
  <c r="I57" i="1"/>
  <c r="K57" i="1"/>
  <c r="N57" i="1"/>
  <c r="D57" i="1"/>
  <c r="F57" i="1"/>
  <c r="H57" i="1"/>
  <c r="J57" i="1"/>
  <c r="L57" i="1"/>
  <c r="N24" i="3"/>
  <c r="N18" i="3"/>
  <c r="N71" i="3"/>
  <c r="L24" i="3"/>
  <c r="K24" i="3"/>
  <c r="J24" i="3"/>
  <c r="I24" i="3"/>
  <c r="I18" i="3"/>
  <c r="I71" i="3"/>
  <c r="H24" i="3"/>
  <c r="L18" i="3"/>
  <c r="L71" i="3"/>
  <c r="K18" i="3"/>
  <c r="J18" i="3"/>
  <c r="H18" i="3"/>
  <c r="H71" i="3"/>
  <c r="H25" i="1"/>
  <c r="J71" i="3"/>
  <c r="J70" i="3"/>
  <c r="H24" i="1"/>
  <c r="H23" i="1"/>
  <c r="H34" i="1"/>
  <c r="J25" i="1"/>
  <c r="J24" i="1"/>
  <c r="J23" i="1"/>
  <c r="J34" i="1"/>
  <c r="K71" i="3"/>
  <c r="K25" i="1"/>
  <c r="K24" i="1"/>
  <c r="K23" i="1"/>
  <c r="K34" i="1"/>
  <c r="C6" i="3"/>
  <c r="C31" i="2"/>
  <c r="C37" i="2"/>
  <c r="F29" i="2"/>
  <c r="E35" i="2"/>
  <c r="C36" i="2"/>
  <c r="G50" i="3"/>
  <c r="G66" i="3"/>
  <c r="G47" i="3"/>
  <c r="G45" i="3"/>
  <c r="G43" i="3"/>
  <c r="G41" i="3"/>
  <c r="F50" i="3"/>
  <c r="F66" i="3"/>
  <c r="F48" i="3"/>
  <c r="F65" i="3"/>
  <c r="F46" i="3"/>
  <c r="F44" i="3"/>
  <c r="F41" i="3"/>
  <c r="E51" i="3"/>
  <c r="E49" i="3"/>
  <c r="E48" i="3"/>
  <c r="E65" i="3"/>
  <c r="E46" i="3"/>
  <c r="E44" i="3"/>
  <c r="E41" i="3"/>
  <c r="D50" i="3"/>
  <c r="D66" i="3"/>
  <c r="D47" i="3"/>
  <c r="D45" i="3"/>
  <c r="D43" i="3"/>
  <c r="C51" i="3"/>
  <c r="C49" i="3"/>
  <c r="C48" i="3"/>
  <c r="C65" i="3"/>
  <c r="C46" i="3"/>
  <c r="C44" i="3"/>
  <c r="G57" i="3"/>
  <c r="G38" i="3"/>
  <c r="G36" i="3"/>
  <c r="G59" i="3"/>
  <c r="G32" i="3"/>
  <c r="G30" i="3"/>
  <c r="F57" i="3"/>
  <c r="F36" i="3"/>
  <c r="F59" i="3"/>
  <c r="F33" i="3"/>
  <c r="F31" i="3"/>
  <c r="F29" i="3"/>
  <c r="F56" i="3"/>
  <c r="F55" i="3"/>
  <c r="E57" i="3"/>
  <c r="E38" i="3"/>
  <c r="E36" i="3"/>
  <c r="E59" i="3"/>
  <c r="E32" i="3"/>
  <c r="E30" i="3"/>
  <c r="D57" i="3"/>
  <c r="D38" i="3"/>
  <c r="D36" i="3"/>
  <c r="D34" i="3"/>
  <c r="D59" i="3"/>
  <c r="D33" i="3"/>
  <c r="D31" i="3"/>
  <c r="D29" i="3"/>
  <c r="D56" i="3"/>
  <c r="D55" i="3"/>
  <c r="C57" i="3"/>
  <c r="C38" i="3"/>
  <c r="C36" i="3"/>
  <c r="C59" i="3"/>
  <c r="C32" i="3"/>
  <c r="C56" i="3"/>
  <c r="C55" i="3"/>
  <c r="G42" i="3"/>
  <c r="G34" i="3"/>
  <c r="E34" i="3"/>
  <c r="C34" i="3"/>
  <c r="E42" i="3"/>
  <c r="F38" i="3"/>
  <c r="F34" i="3"/>
  <c r="D31" i="2"/>
  <c r="F31" i="2"/>
  <c r="E37" i="2"/>
  <c r="J64" i="1"/>
  <c r="J59" i="1"/>
  <c r="J54" i="1"/>
  <c r="I25" i="1"/>
  <c r="I24" i="1"/>
  <c r="I23" i="1"/>
  <c r="I34" i="1"/>
  <c r="I70" i="3"/>
  <c r="N25" i="1"/>
  <c r="N24" i="1"/>
  <c r="N23" i="1"/>
  <c r="N34" i="1"/>
  <c r="N70" i="3"/>
  <c r="K54" i="1"/>
  <c r="K64" i="1"/>
  <c r="K59" i="1"/>
  <c r="H54" i="1"/>
  <c r="H64" i="1"/>
  <c r="H59" i="1"/>
  <c r="L25" i="1"/>
  <c r="L24" i="1"/>
  <c r="L23" i="1"/>
  <c r="L34" i="1"/>
  <c r="L70" i="3"/>
  <c r="F37" i="2"/>
  <c r="M25" i="1"/>
  <c r="M24" i="1"/>
  <c r="M23" i="1"/>
  <c r="M34" i="1"/>
  <c r="M70" i="3"/>
  <c r="C52" i="3"/>
  <c r="E52" i="3"/>
  <c r="G52" i="3"/>
  <c r="D52" i="3"/>
  <c r="F52" i="3"/>
  <c r="K70" i="3"/>
  <c r="H70" i="3"/>
  <c r="D36" i="2"/>
  <c r="C35" i="2"/>
  <c r="F35" i="2"/>
  <c r="D19" i="2"/>
  <c r="D6" i="3"/>
  <c r="B75" i="3"/>
  <c r="D8" i="3"/>
  <c r="B77" i="3"/>
  <c r="D30" i="2"/>
  <c r="F30" i="2"/>
  <c r="C22" i="2"/>
  <c r="C20" i="2"/>
  <c r="D23" i="2"/>
  <c r="C42" i="3"/>
  <c r="C39" i="3"/>
  <c r="D42" i="3"/>
  <c r="E64" i="3"/>
  <c r="G64" i="3"/>
  <c r="G49" i="3"/>
  <c r="C29" i="3"/>
  <c r="C64" i="3"/>
  <c r="C28" i="3"/>
  <c r="C17" i="3"/>
  <c r="C18" i="3"/>
  <c r="F40" i="3"/>
  <c r="F63" i="3"/>
  <c r="D49" i="3"/>
  <c r="E29" i="3"/>
  <c r="E28" i="3"/>
  <c r="E56" i="3"/>
  <c r="E55" i="3"/>
  <c r="G29" i="3"/>
  <c r="G28" i="3"/>
  <c r="G56" i="3"/>
  <c r="G55" i="3"/>
  <c r="D64" i="3"/>
  <c r="D62" i="3"/>
  <c r="E40" i="3"/>
  <c r="E39" i="3"/>
  <c r="E63" i="3"/>
  <c r="F42" i="3"/>
  <c r="G63" i="3"/>
  <c r="G62" i="3"/>
  <c r="G40" i="3"/>
  <c r="G39" i="3"/>
  <c r="F49" i="3"/>
  <c r="C66" i="3"/>
  <c r="C62" i="3"/>
  <c r="F64" i="3"/>
  <c r="E66" i="3"/>
  <c r="D28" i="3"/>
  <c r="F28" i="3"/>
  <c r="D22" i="2"/>
  <c r="E23" i="2"/>
  <c r="G35" i="2"/>
  <c r="D35" i="2"/>
  <c r="C43" i="2"/>
  <c r="C53" i="1"/>
  <c r="C44" i="2"/>
  <c r="C58" i="1"/>
  <c r="D67" i="3"/>
  <c r="D23" i="3"/>
  <c r="D24" i="3"/>
  <c r="E67" i="3"/>
  <c r="E23" i="3"/>
  <c r="E24" i="3"/>
  <c r="G37" i="2"/>
  <c r="N64" i="1"/>
  <c r="N59" i="1"/>
  <c r="N54" i="1"/>
  <c r="I54" i="1"/>
  <c r="I64" i="1"/>
  <c r="I59" i="1"/>
  <c r="E36" i="2"/>
  <c r="C18" i="2"/>
  <c r="D15" i="2"/>
  <c r="D16" i="2"/>
  <c r="D17" i="2"/>
  <c r="D18" i="2"/>
  <c r="B52" i="2"/>
  <c r="D37" i="2"/>
  <c r="D45" i="2"/>
  <c r="C45" i="2"/>
  <c r="D44" i="2"/>
  <c r="D58" i="1"/>
  <c r="F67" i="3"/>
  <c r="F23" i="3"/>
  <c r="F24" i="3"/>
  <c r="G23" i="3"/>
  <c r="G24" i="3"/>
  <c r="G67" i="3"/>
  <c r="C67" i="3"/>
  <c r="C23" i="3"/>
  <c r="C24" i="3"/>
  <c r="C71" i="3"/>
  <c r="C69" i="3"/>
  <c r="M54" i="1"/>
  <c r="M59" i="1"/>
  <c r="M64" i="1"/>
  <c r="L54" i="1"/>
  <c r="L64" i="1"/>
  <c r="L59" i="1"/>
  <c r="G69" i="3"/>
  <c r="E69" i="3"/>
  <c r="D39" i="3"/>
  <c r="D69" i="3"/>
  <c r="G17" i="3"/>
  <c r="G18" i="3"/>
  <c r="E17" i="3"/>
  <c r="E18" i="3"/>
  <c r="E71" i="3"/>
  <c r="G71" i="3"/>
  <c r="F39" i="3"/>
  <c r="F17" i="3"/>
  <c r="F18" i="3"/>
  <c r="F71" i="3"/>
  <c r="F69" i="3"/>
  <c r="E62" i="3"/>
  <c r="F62" i="3"/>
  <c r="D43" i="2"/>
  <c r="D53" i="1"/>
  <c r="C70" i="3"/>
  <c r="C25" i="1"/>
  <c r="C24" i="1"/>
  <c r="C23" i="1"/>
  <c r="C34" i="1"/>
  <c r="G25" i="1"/>
  <c r="G24" i="1"/>
  <c r="G23" i="1"/>
  <c r="G34" i="1"/>
  <c r="G70" i="3"/>
  <c r="C63" i="1"/>
  <c r="H37" i="2"/>
  <c r="H35" i="2"/>
  <c r="E22" i="2"/>
  <c r="E44" i="2"/>
  <c r="E58" i="1"/>
  <c r="F23" i="2"/>
  <c r="D63" i="1"/>
  <c r="F36" i="2"/>
  <c r="B72" i="3"/>
  <c r="D17" i="3"/>
  <c r="D18" i="3"/>
  <c r="D71" i="3"/>
  <c r="F70" i="3"/>
  <c r="F25" i="1"/>
  <c r="F24" i="1"/>
  <c r="F23" i="1"/>
  <c r="F34" i="1"/>
  <c r="E25" i="1"/>
  <c r="E24" i="1"/>
  <c r="E23" i="1"/>
  <c r="E34" i="1"/>
  <c r="E64" i="1"/>
  <c r="E70" i="3"/>
  <c r="G36" i="2"/>
  <c r="E54" i="1"/>
  <c r="F22" i="2"/>
  <c r="G23" i="2"/>
  <c r="I35" i="2"/>
  <c r="I37" i="2"/>
  <c r="C54" i="1"/>
  <c r="C59" i="1"/>
  <c r="C64" i="1"/>
  <c r="E45" i="2"/>
  <c r="E43" i="2"/>
  <c r="E53" i="1"/>
  <c r="G54" i="1"/>
  <c r="G59" i="1"/>
  <c r="G64" i="1"/>
  <c r="F59" i="1"/>
  <c r="F64" i="1"/>
  <c r="F54" i="1"/>
  <c r="E59" i="1"/>
  <c r="E60" i="1"/>
  <c r="D25" i="1"/>
  <c r="D24" i="1"/>
  <c r="D23" i="1"/>
  <c r="D34" i="1"/>
  <c r="C42" i="1"/>
  <c r="D70" i="3"/>
  <c r="C60" i="1"/>
  <c r="C65" i="1"/>
  <c r="J37" i="2"/>
  <c r="J35" i="2"/>
  <c r="G22" i="2"/>
  <c r="H23" i="2"/>
  <c r="G44" i="2"/>
  <c r="G58" i="1"/>
  <c r="G60" i="1"/>
  <c r="H36" i="2"/>
  <c r="E55" i="1"/>
  <c r="E63" i="1"/>
  <c r="C55" i="1"/>
  <c r="F43" i="2"/>
  <c r="F53" i="1"/>
  <c r="F55" i="1"/>
  <c r="F45" i="2"/>
  <c r="F44" i="2"/>
  <c r="F58" i="1"/>
  <c r="D59" i="1"/>
  <c r="D54" i="1"/>
  <c r="D64" i="1"/>
  <c r="I36" i="2"/>
  <c r="H22" i="2"/>
  <c r="I23" i="2"/>
  <c r="K35" i="2"/>
  <c r="K37" i="2"/>
  <c r="F63" i="1"/>
  <c r="F65" i="1"/>
  <c r="F60" i="1"/>
  <c r="E65" i="1"/>
  <c r="G45" i="2"/>
  <c r="G43" i="2"/>
  <c r="G53" i="1"/>
  <c r="G55" i="1"/>
  <c r="D65" i="1"/>
  <c r="C70" i="1"/>
  <c r="H70" i="1"/>
  <c r="D60" i="1"/>
  <c r="D70" i="1"/>
  <c r="I70" i="1"/>
  <c r="D55" i="1"/>
  <c r="E70" i="1"/>
  <c r="J70" i="1"/>
  <c r="M37" i="2"/>
  <c r="L37" i="2"/>
  <c r="L35" i="2"/>
  <c r="M35" i="2"/>
  <c r="I22" i="2"/>
  <c r="J23" i="2"/>
  <c r="I44" i="2"/>
  <c r="I58" i="1"/>
  <c r="I60" i="1"/>
  <c r="J36" i="2"/>
  <c r="G63" i="1"/>
  <c r="H43" i="2"/>
  <c r="H53" i="1"/>
  <c r="H55" i="1"/>
  <c r="H45" i="2"/>
  <c r="H44" i="2"/>
  <c r="H58" i="1"/>
  <c r="H63" i="1"/>
  <c r="H65" i="1"/>
  <c r="I45" i="2"/>
  <c r="I43" i="2"/>
  <c r="I53" i="1"/>
  <c r="N35" i="2"/>
  <c r="N37" i="2"/>
  <c r="H60" i="1"/>
  <c r="G65" i="1"/>
  <c r="K36" i="2"/>
  <c r="J22" i="2"/>
  <c r="K23" i="2"/>
  <c r="J43" i="2"/>
  <c r="J53" i="1"/>
  <c r="J55" i="1"/>
  <c r="J45" i="2"/>
  <c r="J44" i="2"/>
  <c r="J58" i="1"/>
  <c r="I63" i="1"/>
  <c r="K22" i="2"/>
  <c r="L23" i="2"/>
  <c r="K44" i="2"/>
  <c r="K58" i="1"/>
  <c r="K60" i="1"/>
  <c r="L36" i="2"/>
  <c r="M36" i="2"/>
  <c r="I55" i="1"/>
  <c r="N36" i="2"/>
  <c r="L22" i="2"/>
  <c r="M23" i="2"/>
  <c r="J60" i="1"/>
  <c r="K43" i="2"/>
  <c r="K53" i="1"/>
  <c r="K55" i="1"/>
  <c r="K45" i="2"/>
  <c r="I65" i="1"/>
  <c r="J63" i="1"/>
  <c r="J65" i="1"/>
  <c r="M22" i="2"/>
  <c r="N23" i="2"/>
  <c r="N22" i="2"/>
  <c r="N44" i="2"/>
  <c r="N58" i="1"/>
  <c r="K63" i="1"/>
  <c r="K65" i="1"/>
  <c r="L43" i="2"/>
  <c r="L53" i="1"/>
  <c r="L55" i="1"/>
  <c r="L45" i="2"/>
  <c r="L44" i="2"/>
  <c r="L58" i="1"/>
  <c r="L60" i="1"/>
  <c r="L63" i="1"/>
  <c r="L65" i="1"/>
  <c r="N60" i="1"/>
  <c r="M45" i="2"/>
  <c r="M43" i="2"/>
  <c r="M53" i="1"/>
  <c r="M55" i="1"/>
  <c r="M44" i="2"/>
  <c r="M58" i="1"/>
  <c r="M60" i="1"/>
  <c r="N43" i="2"/>
  <c r="N53" i="1"/>
  <c r="N45" i="2"/>
  <c r="N55" i="1"/>
  <c r="E74" i="1"/>
  <c r="J74" i="1"/>
  <c r="E69" i="1"/>
  <c r="M63" i="1"/>
  <c r="M65" i="1"/>
  <c r="D74" i="1"/>
  <c r="I74" i="1"/>
  <c r="N63" i="1"/>
  <c r="D69" i="1"/>
  <c r="D71" i="1"/>
  <c r="D73" i="1"/>
  <c r="I73" i="1"/>
  <c r="I69" i="1"/>
  <c r="D72" i="1"/>
  <c r="N65" i="1"/>
  <c r="C74" i="1"/>
  <c r="H74" i="1"/>
  <c r="C69" i="1"/>
  <c r="E71" i="1"/>
  <c r="E73" i="1"/>
  <c r="J73" i="1"/>
  <c r="J69" i="1"/>
  <c r="E72" i="1"/>
  <c r="I71" i="1"/>
  <c r="I72" i="1"/>
  <c r="J72" i="1"/>
  <c r="J71" i="1"/>
  <c r="C71" i="1"/>
  <c r="C73" i="1"/>
  <c r="H73" i="1"/>
  <c r="H69" i="1"/>
  <c r="C72" i="1"/>
  <c r="H72" i="1"/>
  <c r="H71" i="1"/>
  <c r="D12" i="2"/>
  <c r="D13" i="2"/>
  <c r="D11" i="2"/>
  <c r="M21" i="1"/>
  <c r="M33" i="1"/>
  <c r="M35" i="1"/>
  <c r="N21" i="1"/>
  <c r="N33" i="1"/>
  <c r="N35" i="1"/>
  <c r="D21" i="1"/>
  <c r="D33" i="1"/>
  <c r="D35" i="1"/>
  <c r="D18" i="1"/>
  <c r="D18" i="5"/>
  <c r="I21" i="1"/>
  <c r="I33" i="1"/>
  <c r="I35" i="1"/>
  <c r="E21" i="1"/>
  <c r="E33" i="1"/>
  <c r="E35" i="1"/>
  <c r="G21" i="1"/>
  <c r="G33" i="1"/>
  <c r="G35" i="1"/>
  <c r="L21" i="1"/>
  <c r="L33" i="1"/>
  <c r="L35" i="1"/>
  <c r="C8" i="1"/>
  <c r="C43" i="1"/>
  <c r="C45" i="1"/>
  <c r="H21" i="1"/>
  <c r="H33" i="1"/>
  <c r="H35" i="1"/>
  <c r="J21" i="1"/>
  <c r="J33" i="1"/>
  <c r="J35" i="1"/>
  <c r="F21" i="1"/>
  <c r="F33" i="1"/>
  <c r="F35" i="1"/>
  <c r="K21" i="1"/>
  <c r="K33" i="1"/>
  <c r="K35" i="1"/>
  <c r="C21" i="1"/>
  <c r="C33" i="1"/>
  <c r="C41" i="1"/>
  <c r="C46" i="1"/>
  <c r="C35" i="1"/>
  <c r="C47" i="1"/>
  <c r="C44" i="1"/>
</calcChain>
</file>

<file path=xl/sharedStrings.xml><?xml version="1.0" encoding="utf-8"?>
<sst xmlns="http://schemas.openxmlformats.org/spreadsheetml/2006/main" count="210" uniqueCount="140">
  <si>
    <t>Análisis Costo-Beneficio</t>
  </si>
  <si>
    <t>Supuestos</t>
  </si>
  <si>
    <t>Tasa de descuento</t>
  </si>
  <si>
    <t>Número de procesos</t>
  </si>
  <si>
    <t>Incremento en el número de procesos</t>
  </si>
  <si>
    <t>Año de inicio de la operación</t>
  </si>
  <si>
    <t>*Nota: las celdas resaltadas en verde son listas desplegables</t>
  </si>
  <si>
    <t>x</t>
  </si>
  <si>
    <t>Tabla 1. Valor Presente de Beneficios y Costos</t>
  </si>
  <si>
    <t>Año</t>
  </si>
  <si>
    <t>Beneficios</t>
  </si>
  <si>
    <t>Costos</t>
  </si>
  <si>
    <t xml:space="preserve">  Sub Total</t>
  </si>
  <si>
    <t>Costo del Proyecto</t>
  </si>
  <si>
    <t>Costo de Oportunidad</t>
  </si>
  <si>
    <t>Tabla 2. Beneficio Neto</t>
  </si>
  <si>
    <t>Valor Presente de los Beneficios</t>
  </si>
  <si>
    <t>Beneficio Neto</t>
  </si>
  <si>
    <t>Tabla 3. Indicadores de Eficiencia</t>
  </si>
  <si>
    <t>Indicador</t>
  </si>
  <si>
    <t>Beneficio Neto por Abogado</t>
  </si>
  <si>
    <t>TIR</t>
  </si>
  <si>
    <t>Beneficios del Proyecto</t>
  </si>
  <si>
    <t>Costos del Proyecto</t>
  </si>
  <si>
    <t>Beneficios Netos</t>
  </si>
  <si>
    <t>Beneficios totales</t>
  </si>
  <si>
    <t>Beneficio neto</t>
  </si>
  <si>
    <t>Razón de Beneficio-Costo (Beneficios/Costos)</t>
  </si>
  <si>
    <t>Tipo de Cambio Promedio</t>
  </si>
  <si>
    <t>Inflación</t>
  </si>
  <si>
    <t>Número de procesos promedio</t>
  </si>
  <si>
    <t>Incremento en número de procesos</t>
  </si>
  <si>
    <t>Tabla 1. Estimación de Impacto en Beneficios</t>
  </si>
  <si>
    <t xml:space="preserve">   Incremento escenario pesimista</t>
  </si>
  <si>
    <t xml:space="preserve">   Incremento escenario conservador</t>
  </si>
  <si>
    <t xml:space="preserve">   Incremento escenario positivo</t>
  </si>
  <si>
    <t>Escenario 1. Pesimista</t>
  </si>
  <si>
    <t>Escenario 2. Conservador</t>
  </si>
  <si>
    <t>Escenario 3. Optimista</t>
  </si>
  <si>
    <t>Tabla 2: Valor presente de los flujos de ingreso</t>
  </si>
  <si>
    <t>Fuentes</t>
  </si>
  <si>
    <t>Tabla 1. Costos</t>
  </si>
  <si>
    <t>7.1. Crédito BID sin Unidad Ejecutora</t>
  </si>
  <si>
    <t>Desembolso del crédito [E]</t>
  </si>
  <si>
    <t>Total Crédito BID sin Unidad Ejecutora</t>
  </si>
  <si>
    <t>7.2. Unidad Ejecutora (5 de la operación)</t>
  </si>
  <si>
    <t>Equipo humano</t>
  </si>
  <si>
    <t>Costos administrativos (cláusula administrativo 2.15 = 0,75 millones USD)</t>
  </si>
  <si>
    <t>Tasa Representativa de mercado</t>
  </si>
  <si>
    <t>Total Unidad Ejecutora</t>
  </si>
  <si>
    <t>Total Crédito BID</t>
  </si>
  <si>
    <r>
      <t>1.1</t>
    </r>
    <r>
      <rPr>
        <sz val="7"/>
        <color theme="1"/>
        <rFont val="Times New Roman"/>
        <family val="1"/>
      </rPr>
      <t xml:space="preserve">          </t>
    </r>
    <r>
      <rPr>
        <b/>
        <sz val="11"/>
        <color theme="1"/>
        <rFont val="Arial"/>
        <family val="2"/>
      </rPr>
      <t>Componente 1. Fortalecimiento de las capacidades de la ANDJE para mejorar la eficiencia de las Entidades del nivel nacional que hacen parte del ecosistema de defensa jurídica</t>
    </r>
    <r>
      <rPr>
        <sz val="11"/>
        <color theme="1"/>
        <rFont val="Arial"/>
        <family val="2"/>
      </rPr>
      <t xml:space="preserve">. Actividades: </t>
    </r>
  </si>
  <si>
    <r>
      <t>(i)</t>
    </r>
    <r>
      <rPr>
        <sz val="7"/>
        <color theme="1"/>
        <rFont val="Times New Roman"/>
        <family val="1"/>
      </rPr>
      <t xml:space="preserve">            </t>
    </r>
    <r>
      <rPr>
        <sz val="11"/>
        <color theme="1"/>
        <rFont val="Arial"/>
        <family val="2"/>
      </rPr>
      <t xml:space="preserve">diseño e implementación del Modelo integral de Gestión por Resultados para la Defensa Jurídica; </t>
    </r>
  </si>
  <si>
    <r>
      <t>a.</t>
    </r>
    <r>
      <rPr>
        <sz val="7"/>
        <color theme="1"/>
        <rFont val="Times New Roman"/>
        <family val="1"/>
      </rPr>
      <t xml:space="preserve">    </t>
    </r>
    <r>
      <rPr>
        <sz val="11"/>
        <color theme="1"/>
        <rFont val="Arial"/>
        <family val="2"/>
      </rPr>
      <t>CRM</t>
    </r>
  </si>
  <si>
    <r>
      <t>b.</t>
    </r>
    <r>
      <rPr>
        <sz val="7"/>
        <color theme="1"/>
        <rFont val="Times New Roman"/>
        <family val="1"/>
      </rPr>
      <t xml:space="preserve">    </t>
    </r>
    <r>
      <rPr>
        <sz val="11"/>
        <color theme="1"/>
        <rFont val="Arial"/>
        <family val="2"/>
      </rPr>
      <t>Sistema de gestión de procesos</t>
    </r>
  </si>
  <si>
    <r>
      <t>c.</t>
    </r>
    <r>
      <rPr>
        <sz val="7"/>
        <color theme="1"/>
        <rFont val="Times New Roman"/>
        <family val="1"/>
      </rPr>
      <t xml:space="preserve">     </t>
    </r>
    <r>
      <rPr>
        <sz val="11"/>
        <color theme="1"/>
        <rFont val="Arial"/>
        <family val="2"/>
      </rPr>
      <t>Expediente electrónico judicial</t>
    </r>
  </si>
  <si>
    <r>
      <t>d.</t>
    </r>
    <r>
      <rPr>
        <sz val="7"/>
        <color theme="1"/>
        <rFont val="Times New Roman"/>
        <family val="1"/>
      </rPr>
      <t xml:space="preserve">    </t>
    </r>
    <r>
      <rPr>
        <sz val="11"/>
        <color theme="1"/>
        <rFont val="Arial"/>
        <family val="2"/>
      </rPr>
      <t>Desarrollo del modelo de arquitectura institucional</t>
    </r>
  </si>
  <si>
    <r>
      <t>1.2</t>
    </r>
    <r>
      <rPr>
        <sz val="7"/>
        <color theme="1"/>
        <rFont val="Times New Roman"/>
        <family val="1"/>
      </rPr>
      <t xml:space="preserve">          </t>
    </r>
    <r>
      <rPr>
        <b/>
        <sz val="11"/>
        <color theme="1"/>
        <rFont val="Arial"/>
        <family val="2"/>
      </rPr>
      <t>Componente 2.</t>
    </r>
    <r>
      <rPr>
        <sz val="11"/>
        <color theme="1"/>
        <rFont val="Arial"/>
        <family val="2"/>
      </rPr>
      <t xml:space="preserve"> </t>
    </r>
    <r>
      <rPr>
        <b/>
        <sz val="11"/>
        <color theme="1"/>
        <rFont val="Arial"/>
        <family val="2"/>
      </rPr>
      <t>Diseño y puesta en marcha de una estrategia de gestión de conocimiento basado en evidencia para mejorar la eficiencia en el uso de la información litigiosa del estado</t>
    </r>
    <r>
      <rPr>
        <sz val="11"/>
        <color theme="1"/>
        <rFont val="Arial"/>
        <family val="2"/>
      </rPr>
      <t xml:space="preserve">. Actividades: </t>
    </r>
  </si>
  <si>
    <t>(i) fortalecimiento de arquitectura de los sistemas de información de la Agencia y desarrollo de estrategias de ciberseguridad e infraestructura tecnoógica</t>
  </si>
  <si>
    <t>a. Nuevos módulos eKOGUI</t>
  </si>
  <si>
    <r>
      <t>(ii)</t>
    </r>
    <r>
      <rPr>
        <sz val="7"/>
        <color theme="1"/>
        <rFont val="Times New Roman"/>
        <family val="1"/>
      </rPr>
      <t xml:space="preserve">           </t>
    </r>
    <r>
      <rPr>
        <sz val="11"/>
        <color theme="1"/>
        <rFont val="Arial"/>
        <family val="2"/>
      </rPr>
      <t xml:space="preserve">desarrollo de herramientas que permitan el análisis predictivo y prospectivo para aumentar las eficiencias en el uso de la información. </t>
    </r>
  </si>
  <si>
    <r>
      <t>a.</t>
    </r>
    <r>
      <rPr>
        <sz val="7"/>
        <color theme="1"/>
        <rFont val="Times New Roman"/>
        <family val="1"/>
      </rPr>
      <t xml:space="preserve">    </t>
    </r>
    <r>
      <rPr>
        <sz val="11"/>
        <color theme="1"/>
        <rFont val="Arial"/>
        <family val="2"/>
      </rPr>
      <t xml:space="preserve">Tablero de control </t>
    </r>
  </si>
  <si>
    <t>b.   Analítica</t>
  </si>
  <si>
    <r>
      <t>d.</t>
    </r>
    <r>
      <rPr>
        <sz val="7"/>
        <color theme="1"/>
        <rFont val="Times New Roman"/>
        <family val="1"/>
      </rPr>
      <t xml:space="preserve">    </t>
    </r>
    <r>
      <rPr>
        <sz val="11"/>
        <color theme="1"/>
        <rFont val="Arial"/>
        <family val="2"/>
      </rPr>
      <t>Georreferenciación</t>
    </r>
  </si>
  <si>
    <t>e. Calidad de datos</t>
  </si>
  <si>
    <t>f. Estrategia de conocimiento</t>
  </si>
  <si>
    <r>
      <t>(ii)</t>
    </r>
    <r>
      <rPr>
        <sz val="7"/>
        <color theme="1"/>
        <rFont val="Times New Roman"/>
        <family val="1"/>
      </rPr>
      <t>  </t>
    </r>
    <r>
      <rPr>
        <sz val="11"/>
        <color theme="1"/>
        <rFont val="Arial"/>
        <family val="2"/>
      </rPr>
      <t xml:space="preserve">Arquitectura institucional y diseño e implementación de portafolio de productos y servicios para las entidades que hacen parte del ecosistema de defensa jurídica. </t>
    </r>
  </si>
  <si>
    <t>Impuestos (IVA 19%)</t>
  </si>
  <si>
    <t>Auditoria, Evaluación y Monitoreo</t>
  </si>
  <si>
    <t>Impuesto</t>
  </si>
  <si>
    <t>Total Crédito BID sin Impuestos</t>
  </si>
  <si>
    <t>Número de abogados</t>
  </si>
  <si>
    <t>Procesos por Abogado</t>
  </si>
  <si>
    <t>Costo promedio por proceso por abogado</t>
  </si>
  <si>
    <t>Razón Costo - Beneficio</t>
  </si>
  <si>
    <t>Beneficio neto por abogado</t>
  </si>
  <si>
    <t>Supuestos macroeconómicos 2020 Ministerio de Hacienda y Crédito Público</t>
  </si>
  <si>
    <t>Agencia Nacional de Defensa Jurídica del Estado de la República de Colombia</t>
  </si>
  <si>
    <t>Banco Interamericano de Desarrollo</t>
  </si>
  <si>
    <t>Estatuto Tributario de la República de Colombia. Decreto 624 de 1989</t>
  </si>
  <si>
    <t>Escenario Base =  2</t>
  </si>
  <si>
    <t>% de ejecución del crédito</t>
  </si>
  <si>
    <r>
      <t>Tabla 4. Análisis de Sensibilidad</t>
    </r>
    <r>
      <rPr>
        <b/>
        <sz val="12"/>
        <color rgb="FFFF0000"/>
        <rFont val="Calibri (Body)_x0000_"/>
      </rPr>
      <t>*</t>
    </r>
  </si>
  <si>
    <t>Chemin. 2009. The impact of the judiciary on entrepreneurship: Evaluation of Pakistan's “Access to Justice Programme”</t>
  </si>
  <si>
    <t xml:space="preserve">Operación </t>
  </si>
  <si>
    <t>La tasa de descuento utilizada es del 12%, según el estándar del Banco.</t>
  </si>
  <si>
    <t>De acuerdo al Ministerio de Hacienda, se pronostica una TRM de $3.151 pesos en promedio para el 2020. Con esa TRM se realiza la totalidad del análisis.</t>
  </si>
  <si>
    <t>El incremento en el número de procesos se deriva de la evidencia empírica de Chemin (2009), en Pakistán. A través de un análisis de 6 distritos judiciales en los que se realizaron capacitaciones a los jueces con el fin conocer a profundidad la reforma realizada a través de la implementación de "Justice Programme", se evidenció un incremento del 25% en el número de casos llevados por cada uno de los jueces, en comparación con aquellos jueces de los otros 111 distritos que no fueron capacitados. Al asumir que un abogado defensor, debe ser igual de diligente que un juez en el análisis de la información tanto de a parte que representa como de la contraparte, podemos asumir que una vez capacitados los abogados de la Agencia en el uso del sistema a implementar, su productividad se verá positivamente afectada en un 25% en el escenario conservador.</t>
  </si>
  <si>
    <t>Número de Procesos Totales</t>
  </si>
  <si>
    <t>Decreto 998 de 2017</t>
  </si>
  <si>
    <t>Decreto 228 de 2016</t>
  </si>
  <si>
    <t>Decreto 312 de 2018</t>
  </si>
  <si>
    <t>Departamento Administrativo de la Función Pública</t>
  </si>
  <si>
    <t>Decreto 1099 de 2015</t>
  </si>
  <si>
    <t>Decreto 1099 de 2015. Departamento Administrativo de la Función Pública</t>
  </si>
  <si>
    <t>Decreto 228 de 2016. Departamento Administrativo de la Función Pública</t>
  </si>
  <si>
    <t>Decreto 998 de 2017. Departamento Administrativo de la Función Pública</t>
  </si>
  <si>
    <t>Decreto 312 de 2018. Departamento Administrativo de la Función Pública</t>
  </si>
  <si>
    <t>Directivo</t>
  </si>
  <si>
    <t>Profesional</t>
  </si>
  <si>
    <t>Aumento Salarial</t>
  </si>
  <si>
    <t>Valor Presente de Costos y Beneficios (Escenario 1)</t>
  </si>
  <si>
    <t>Valor Presente de Costos y Beneficios (Escenario 2)</t>
  </si>
  <si>
    <t>Valor Presente de Costos y Beneficios (Escenario 3)</t>
  </si>
  <si>
    <t>Chemin (2009)</t>
  </si>
  <si>
    <t>Banco de la República|Colombia</t>
  </si>
  <si>
    <t>Número de procesos en la ANDJE con mayores pretensiones</t>
  </si>
  <si>
    <t>Costo promedio por proceso</t>
  </si>
  <si>
    <t>Productos</t>
  </si>
  <si>
    <t>Componente 1</t>
  </si>
  <si>
    <t>Componente 2</t>
  </si>
  <si>
    <r>
      <t>c.</t>
    </r>
    <r>
      <rPr>
        <sz val="7"/>
        <color theme="1"/>
        <rFont val="Times New Roman"/>
        <family val="1"/>
      </rPr>
      <t xml:space="preserve">    </t>
    </r>
    <r>
      <rPr>
        <sz val="11"/>
        <color theme="1"/>
        <rFont val="Arial"/>
        <family val="2"/>
      </rPr>
      <t>Interoperabilidad y creación de nodos de interoperabilidad</t>
    </r>
  </si>
  <si>
    <t xml:space="preserve">        I. ciberseguridad</t>
  </si>
  <si>
    <t xml:space="preserve">        II.  infraestructura</t>
  </si>
  <si>
    <t>(iii) Ciberseguridad e Infraestructura</t>
  </si>
  <si>
    <t>Actividades</t>
  </si>
  <si>
    <r>
      <t>a.</t>
    </r>
    <r>
      <rPr>
        <sz val="7"/>
        <color theme="1"/>
        <rFont val="Times New Roman"/>
        <family val="1"/>
      </rPr>
      <t xml:space="preserve">     </t>
    </r>
    <r>
      <rPr>
        <sz val="11"/>
        <color theme="1"/>
        <rFont val="Arial"/>
        <family val="2"/>
      </rPr>
      <t>gobierno de datos</t>
    </r>
  </si>
  <si>
    <r>
      <t>b.</t>
    </r>
    <r>
      <rPr>
        <sz val="7"/>
        <color theme="1"/>
        <rFont val="Times New Roman"/>
        <family val="1"/>
      </rPr>
      <t xml:space="preserve">     </t>
    </r>
    <r>
      <rPr>
        <sz val="11"/>
        <color theme="1"/>
        <rFont val="Arial"/>
        <family val="2"/>
      </rPr>
      <t>gobernanza</t>
    </r>
  </si>
  <si>
    <r>
      <t>c.</t>
    </r>
    <r>
      <rPr>
        <sz val="7"/>
        <color theme="1"/>
        <rFont val="Times New Roman"/>
        <family val="1"/>
      </rPr>
      <t xml:space="preserve">    </t>
    </r>
    <r>
      <rPr>
        <sz val="11"/>
        <color theme="1"/>
        <rFont val="Arial"/>
        <family val="2"/>
      </rPr>
      <t>gestión de riesgos</t>
    </r>
  </si>
  <si>
    <t>d.   plan de gestión del cambio, transferencia y comunicaciones</t>
  </si>
  <si>
    <t>El número de abogados se mantiene fijo durante los 10 años de la operación, con base en la información remitida por la Agencia Nacional de Defensa Jurídica del Estado (ANDJE). Esto con el fin de entender el aumento en la productividad de los abogados. Es importante establecer que todo funcionario contratado con posterioridad o durante la operación y que se beneficie de las capacitaciones en el marco del programa, verá un aumento de su productividad en un 25%.</t>
  </si>
  <si>
    <t>Para el cálculo del aumento salarial se realizó un promedio del aumento salarial de los últimos 4 años al interior de la ANDJE, el cual ha sido del 6.54%, de acuerdo a los Decretos 1099 de 2015, 228 de 2016, 998 de 2017 y 312 de 2018 del Departamento Administrativo de la Función Pública (DAFP). Por consiguiente, para efectos de la presente evaluación, se utilizará como incremento salaria anual el valor de 6.54%.</t>
  </si>
  <si>
    <t>Abogados ANDJE</t>
  </si>
  <si>
    <t>Porcentaje costo ANDJE DN y soporte</t>
  </si>
  <si>
    <t>Costo promedio porpromedio por  abogado</t>
  </si>
  <si>
    <t>Abogados</t>
  </si>
  <si>
    <t>Caacidad total de procesos ANDJE</t>
  </si>
  <si>
    <t>Número de procesos con mayores pretensiones</t>
  </si>
  <si>
    <t>Porcentaje de procesos con mayores pretensiones Escenario Base</t>
  </si>
  <si>
    <t>Porcentaje de procesos con mayores pretensiones ANDJE 2019</t>
  </si>
  <si>
    <t>Beneficios totales USD</t>
  </si>
  <si>
    <t>Costos USD</t>
  </si>
  <si>
    <t>Beneficio neto USD</t>
  </si>
  <si>
    <t>Beneficio neto por abogado USD</t>
  </si>
  <si>
    <t>USD</t>
  </si>
  <si>
    <t xml:space="preserve">Se prevé que el desembolso del crédito sea así: 0,5% (2019), 23% (2020), 36,7% (2021), 26,1 (2022); 13,7% (2023). </t>
  </si>
  <si>
    <t>Porcentajes de desembolso crédito</t>
  </si>
  <si>
    <t>Tablero de Control</t>
  </si>
  <si>
    <t>Escenario</t>
  </si>
  <si>
    <t>CO-L1251. Programa de Fortalecimiento de la Agencia Nacional de Defensa Jurídica del Estado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</si>
</sst>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_-;\-* #,##0_-;_-* &quot;-&quot;_-;_-@_-"/>
    <numFmt numFmtId="165" formatCode="_-* #,##0.00_-;\-* #,##0.00_-;_-* &quot;-&quot;??_-;_-@_-"/>
    <numFmt numFmtId="166" formatCode="&quot;COP&quot;#,##0.00;[Red]\-&quot;COP&quot;#,##0.00"/>
    <numFmt numFmtId="167" formatCode="_-&quot;COP&quot;* #,##0_-;\-&quot;COP&quot;* #,##0_-;_-&quot;COP&quot;* &quot;-&quot;_-;_-@_-"/>
    <numFmt numFmtId="168" formatCode="_-&quot;COP&quot;* #,##0.00_-;\-&quot;COP&quot;* #,##0.00_-;_-&quot;COP&quot;* &quot;-&quot;??_-;_-@_-"/>
    <numFmt numFmtId="169" formatCode="_-[$$-409]* #,##0.00_ ;_-[$$-409]* \-#,##0.00\ ;_-[$$-409]* &quot;-&quot;??_ ;_-@_ "/>
    <numFmt numFmtId="170" formatCode="_-[$$-409]* #,##0_ ;_-[$$-409]* \-#,##0\ ;_-[$$-409]* &quot;-&quot;??_ ;_-@_ "/>
    <numFmt numFmtId="171" formatCode="&quot;$&quot;#,##0;[Red]&quot;$&quot;#,##0"/>
    <numFmt numFmtId="172" formatCode="&quot;$&quot;#,##0.00"/>
    <numFmt numFmtId="173" formatCode="0.0"/>
    <numFmt numFmtId="174" formatCode="_-* #,##0_-;\-* #,##0_-;_-* &quot;-&quot;??_-;_-@_-"/>
    <numFmt numFmtId="175" formatCode="_-* #,##0.00_-;\-* #,##0.00_-;_-* &quot;-&quot;_-;_-@_-"/>
    <numFmt numFmtId="176" formatCode="0.0%"/>
  </numFmts>
  <fonts count="22">
    <font>
      <sz val="12"/>
      <color theme="1"/>
      <name val="Calibri"/>
      <family val="2"/>
      <charset val="204"/>
      <scheme val="minor"/>
    </font>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b/>
      <sz val="18"/>
      <color theme="1"/>
      <name val="Calibri"/>
      <family val="2"/>
      <scheme val="minor"/>
    </font>
    <font>
      <sz val="14"/>
      <color theme="1"/>
      <name val="Calibri"/>
      <family val="2"/>
      <scheme val="minor"/>
    </font>
    <font>
      <b/>
      <sz val="11"/>
      <color theme="1"/>
      <name val="Calibri"/>
      <family val="2"/>
      <scheme val="minor"/>
    </font>
    <font>
      <i/>
      <sz val="12"/>
      <color theme="1"/>
      <name val="Calibri"/>
      <family val="2"/>
      <scheme val="minor"/>
    </font>
    <font>
      <sz val="11"/>
      <color theme="1"/>
      <name val="Arial"/>
      <family val="2"/>
    </font>
    <font>
      <sz val="7"/>
      <color theme="1"/>
      <name val="Times New Roman"/>
      <family val="1"/>
    </font>
    <font>
      <b/>
      <sz val="11"/>
      <color theme="1"/>
      <name val="Arial"/>
      <family val="2"/>
    </font>
    <font>
      <sz val="11"/>
      <color rgb="FF000000"/>
      <name val="Arial"/>
      <family val="2"/>
    </font>
    <font>
      <b/>
      <sz val="12"/>
      <color rgb="FFFF0000"/>
      <name val="Calibri (Body)_x0000_"/>
    </font>
    <font>
      <b/>
      <i/>
      <sz val="12"/>
      <color theme="1"/>
      <name val="Calibri"/>
      <family val="2"/>
      <scheme val="minor"/>
    </font>
    <font>
      <sz val="12"/>
      <color theme="4" tint="0.39997558519241921"/>
      <name val="Calibri"/>
      <family val="2"/>
      <scheme val="minor"/>
    </font>
    <font>
      <sz val="11"/>
      <color theme="1"/>
      <name val="Calibri"/>
      <family val="2"/>
      <scheme val="minor"/>
    </font>
    <font>
      <sz val="8"/>
      <color theme="1"/>
      <name val="Calibri"/>
      <family val="2"/>
      <scheme val="minor"/>
    </font>
    <font>
      <u/>
      <sz val="12"/>
      <color theme="10"/>
      <name val="Calibri"/>
      <family val="2"/>
      <charset val="204"/>
      <scheme val="minor"/>
    </font>
    <font>
      <u/>
      <sz val="12"/>
      <color theme="11"/>
      <name val="Calibri"/>
      <family val="2"/>
      <charset val="204"/>
      <scheme val="minor"/>
    </font>
    <font>
      <sz val="12"/>
      <color theme="1"/>
      <name val="Symbol"/>
      <charset val="2"/>
    </font>
    <font>
      <sz val="12"/>
      <color theme="4" tint="-0.249977111117893"/>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41">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8">
    <xf numFmtId="0" fontId="0" fillId="0" borderId="0"/>
    <xf numFmtId="164"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82">
    <xf numFmtId="0" fontId="0" fillId="0" borderId="0" xfId="0"/>
    <xf numFmtId="0" fontId="5" fillId="0" borderId="0" xfId="0" applyFont="1" applyBorder="1"/>
    <xf numFmtId="0" fontId="4" fillId="0" borderId="0" xfId="0" applyFont="1"/>
    <xf numFmtId="0" fontId="0" fillId="2" borderId="0" xfId="0" applyFill="1"/>
    <xf numFmtId="0" fontId="0" fillId="0" borderId="4" xfId="0" applyBorder="1"/>
    <xf numFmtId="0" fontId="0" fillId="0" borderId="6" xfId="0" applyBorder="1"/>
    <xf numFmtId="0" fontId="0" fillId="0" borderId="2" xfId="0" applyBorder="1"/>
    <xf numFmtId="0" fontId="3" fillId="0" borderId="11" xfId="0" applyFont="1" applyFill="1" applyBorder="1"/>
    <xf numFmtId="0" fontId="0" fillId="0" borderId="12" xfId="0" applyBorder="1" applyAlignment="1">
      <alignment horizontal="left"/>
    </xf>
    <xf numFmtId="0" fontId="0" fillId="0" borderId="1" xfId="0" applyBorder="1"/>
    <xf numFmtId="0" fontId="8" fillId="0" borderId="0" xfId="0" applyFont="1" applyAlignment="1">
      <alignment horizontal="left"/>
    </xf>
    <xf numFmtId="0" fontId="0" fillId="0" borderId="0" xfId="0" applyAlignment="1">
      <alignment wrapText="1"/>
    </xf>
    <xf numFmtId="0" fontId="0" fillId="0" borderId="0" xfId="0" applyAlignment="1">
      <alignment horizontal="center" vertical="center" wrapText="1"/>
    </xf>
    <xf numFmtId="0" fontId="3" fillId="0" borderId="1" xfId="0" applyFont="1" applyBorder="1" applyAlignment="1">
      <alignment horizontal="left"/>
    </xf>
    <xf numFmtId="0" fontId="3" fillId="0" borderId="1" xfId="0" applyFont="1" applyBorder="1"/>
    <xf numFmtId="0" fontId="0" fillId="0" borderId="0" xfId="0" applyFill="1" applyAlignment="1">
      <alignment horizontal="left"/>
    </xf>
    <xf numFmtId="169" fontId="3" fillId="0" borderId="0" xfId="0" applyNumberFormat="1" applyFont="1" applyFill="1"/>
    <xf numFmtId="169" fontId="0" fillId="0" borderId="0" xfId="0" applyNumberFormat="1"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left"/>
    </xf>
    <xf numFmtId="0" fontId="0" fillId="0" borderId="0" xfId="0" applyFont="1" applyFill="1" applyAlignment="1">
      <alignment horizontal="left"/>
    </xf>
    <xf numFmtId="170" fontId="0" fillId="0" borderId="0" xfId="0" applyNumberFormat="1" applyFill="1"/>
    <xf numFmtId="167" fontId="0" fillId="0" borderId="0" xfId="2" applyFont="1"/>
    <xf numFmtId="0" fontId="3" fillId="0" borderId="13" xfId="0" applyFont="1" applyBorder="1" applyAlignment="1">
      <alignment horizontal="center"/>
    </xf>
    <xf numFmtId="0" fontId="3" fillId="3" borderId="13" xfId="0" applyFont="1" applyFill="1" applyBorder="1" applyAlignment="1">
      <alignment horizontal="right"/>
    </xf>
    <xf numFmtId="169" fontId="3" fillId="3" borderId="13" xfId="0" applyNumberFormat="1" applyFont="1" applyFill="1" applyBorder="1"/>
    <xf numFmtId="0" fontId="3" fillId="0" borderId="1" xfId="0" applyFont="1" applyFill="1" applyBorder="1" applyAlignment="1">
      <alignment horizontal="left"/>
    </xf>
    <xf numFmtId="169" fontId="0" fillId="0" borderId="0" xfId="0" applyNumberFormat="1" applyFont="1" applyFill="1"/>
    <xf numFmtId="169" fontId="3" fillId="0" borderId="13" xfId="0" applyNumberFormat="1" applyFont="1" applyFill="1" applyBorder="1"/>
    <xf numFmtId="0" fontId="3" fillId="4" borderId="1" xfId="0" applyFont="1" applyFill="1" applyBorder="1" applyAlignment="1">
      <alignment horizontal="right"/>
    </xf>
    <xf numFmtId="169" fontId="3" fillId="4" borderId="1" xfId="0" applyNumberFormat="1" applyFont="1" applyFill="1" applyBorder="1"/>
    <xf numFmtId="0" fontId="3" fillId="0" borderId="0" xfId="0" applyFont="1" applyFill="1" applyBorder="1" applyAlignment="1">
      <alignment horizontal="right"/>
    </xf>
    <xf numFmtId="169" fontId="3" fillId="0" borderId="0" xfId="0" applyNumberFormat="1" applyFont="1" applyFill="1" applyBorder="1"/>
    <xf numFmtId="0" fontId="0" fillId="0" borderId="0" xfId="0" applyFill="1" applyBorder="1"/>
    <xf numFmtId="0" fontId="9" fillId="0" borderId="0" xfId="0" applyFont="1" applyAlignment="1">
      <alignment horizontal="justify" vertical="center"/>
    </xf>
    <xf numFmtId="0" fontId="12" fillId="0" borderId="0" xfId="0" applyFont="1" applyAlignment="1">
      <alignment horizontal="justify" vertical="center"/>
    </xf>
    <xf numFmtId="169" fontId="0" fillId="0" borderId="0" xfId="0" applyNumberFormat="1" applyFont="1" applyFill="1" applyBorder="1"/>
    <xf numFmtId="9" fontId="3" fillId="0" borderId="0" xfId="3" applyFont="1" applyFill="1" applyBorder="1"/>
    <xf numFmtId="169" fontId="0" fillId="0" borderId="0" xfId="0" applyNumberFormat="1"/>
    <xf numFmtId="0" fontId="3" fillId="0" borderId="14" xfId="0" applyFont="1" applyFill="1" applyBorder="1" applyAlignment="1">
      <alignment horizontal="left"/>
    </xf>
    <xf numFmtId="169" fontId="3" fillId="0" borderId="14" xfId="0" applyNumberFormat="1" applyFont="1" applyFill="1" applyBorder="1"/>
    <xf numFmtId="9" fontId="3" fillId="0" borderId="13" xfId="3" applyFont="1" applyFill="1" applyBorder="1"/>
    <xf numFmtId="0" fontId="3" fillId="2" borderId="13" xfId="0" applyFont="1" applyFill="1" applyBorder="1" applyAlignment="1">
      <alignment horizontal="left"/>
    </xf>
    <xf numFmtId="169" fontId="3" fillId="2" borderId="13" xfId="0" applyNumberFormat="1" applyFont="1" applyFill="1" applyBorder="1"/>
    <xf numFmtId="167" fontId="0" fillId="0" borderId="0" xfId="0" applyNumberFormat="1"/>
    <xf numFmtId="164" fontId="0" fillId="0" borderId="0" xfId="0" applyNumberFormat="1"/>
    <xf numFmtId="164" fontId="0" fillId="0" borderId="1" xfId="0" applyNumberFormat="1" applyBorder="1"/>
    <xf numFmtId="0" fontId="0" fillId="0" borderId="0" xfId="0" applyBorder="1"/>
    <xf numFmtId="0" fontId="3" fillId="0" borderId="13" xfId="0" applyFont="1" applyBorder="1" applyAlignment="1">
      <alignment horizontal="center" vertical="center" wrapText="1"/>
    </xf>
    <xf numFmtId="165" fontId="0" fillId="0" borderId="0" xfId="0" applyNumberFormat="1" applyAlignment="1">
      <alignment vertical="center"/>
    </xf>
    <xf numFmtId="165" fontId="0" fillId="0" borderId="1" xfId="0" applyNumberFormat="1" applyBorder="1" applyAlignment="1">
      <alignment vertical="center"/>
    </xf>
    <xf numFmtId="167" fontId="0" fillId="2" borderId="0" xfId="0" applyNumberFormat="1" applyFill="1"/>
    <xf numFmtId="0" fontId="3" fillId="3" borderId="13" xfId="0" applyFont="1" applyFill="1" applyBorder="1"/>
    <xf numFmtId="167" fontId="0" fillId="3" borderId="13" xfId="0" applyNumberFormat="1" applyFill="1" applyBorder="1"/>
    <xf numFmtId="167" fontId="0" fillId="3" borderId="13" xfId="2" applyFont="1" applyFill="1" applyBorder="1"/>
    <xf numFmtId="167" fontId="0" fillId="0" borderId="0" xfId="0" applyNumberFormat="1" applyBorder="1"/>
    <xf numFmtId="167" fontId="0" fillId="0" borderId="5" xfId="0" applyNumberFormat="1" applyBorder="1"/>
    <xf numFmtId="0" fontId="3" fillId="3" borderId="8" xfId="0" applyFont="1" applyFill="1" applyBorder="1"/>
    <xf numFmtId="0" fontId="3" fillId="3" borderId="13" xfId="0" applyFont="1" applyFill="1" applyBorder="1" applyAlignment="1">
      <alignment horizontal="center"/>
    </xf>
    <xf numFmtId="167" fontId="0" fillId="0" borderId="3" xfId="0" applyNumberFormat="1" applyBorder="1"/>
    <xf numFmtId="9" fontId="0" fillId="0" borderId="7" xfId="0" applyNumberFormat="1" applyBorder="1"/>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5" borderId="8" xfId="0" applyFill="1" applyBorder="1"/>
    <xf numFmtId="167" fontId="0" fillId="5" borderId="13" xfId="0" applyNumberFormat="1" applyFill="1" applyBorder="1"/>
    <xf numFmtId="0" fontId="3" fillId="5" borderId="10" xfId="0" applyFont="1" applyFill="1" applyBorder="1"/>
    <xf numFmtId="0" fontId="3" fillId="5" borderId="10" xfId="0" applyNumberFormat="1" applyFont="1" applyFill="1" applyBorder="1" applyAlignment="1">
      <alignment horizontal="center" vertical="center"/>
    </xf>
    <xf numFmtId="0" fontId="3" fillId="5" borderId="16" xfId="0" applyNumberFormat="1" applyFont="1" applyFill="1" applyBorder="1" applyAlignment="1">
      <alignment horizontal="center" vertical="center"/>
    </xf>
    <xf numFmtId="0" fontId="3" fillId="5" borderId="10" xfId="0" applyFont="1" applyFill="1" applyBorder="1" applyAlignment="1">
      <alignment horizontal="center" vertical="center"/>
    </xf>
    <xf numFmtId="0" fontId="3" fillId="5" borderId="16" xfId="0" applyFont="1" applyFill="1" applyBorder="1" applyAlignment="1">
      <alignment horizontal="center" vertical="center"/>
    </xf>
    <xf numFmtId="169" fontId="3" fillId="0" borderId="11" xfId="0" applyNumberFormat="1" applyFont="1" applyFill="1" applyBorder="1" applyAlignment="1">
      <alignment horizontal="center"/>
    </xf>
    <xf numFmtId="169" fontId="3" fillId="0" borderId="17" xfId="0" applyNumberFormat="1" applyFont="1" applyFill="1" applyBorder="1" applyAlignment="1">
      <alignment horizontal="center"/>
    </xf>
    <xf numFmtId="169" fontId="0" fillId="0" borderId="15" xfId="0" applyNumberFormat="1" applyBorder="1" applyAlignment="1">
      <alignment horizontal="center"/>
    </xf>
    <xf numFmtId="169" fontId="0" fillId="0" borderId="18" xfId="0" applyNumberFormat="1" applyBorder="1" applyAlignment="1">
      <alignment horizontal="center"/>
    </xf>
    <xf numFmtId="171" fontId="0" fillId="0" borderId="19" xfId="0" applyNumberFormat="1" applyFont="1" applyBorder="1" applyAlignment="1">
      <alignment horizontal="center"/>
    </xf>
    <xf numFmtId="171" fontId="0" fillId="0" borderId="20" xfId="0" applyNumberFormat="1" applyFont="1" applyBorder="1" applyAlignment="1">
      <alignment horizontal="center"/>
    </xf>
    <xf numFmtId="171" fontId="0" fillId="0" borderId="21" xfId="0" applyNumberFormat="1" applyFont="1" applyBorder="1" applyAlignment="1">
      <alignment horizontal="center"/>
    </xf>
    <xf numFmtId="172" fontId="0" fillId="0" borderId="20" xfId="0" applyNumberFormat="1" applyFont="1" applyBorder="1" applyAlignment="1">
      <alignment horizontal="center"/>
    </xf>
    <xf numFmtId="0" fontId="7" fillId="5" borderId="22" xfId="0" applyFont="1" applyFill="1" applyBorder="1" applyAlignment="1">
      <alignment horizontal="center" vertical="center" wrapText="1"/>
    </xf>
    <xf numFmtId="0" fontId="0" fillId="0" borderId="24" xfId="0" applyBorder="1"/>
    <xf numFmtId="0" fontId="0" fillId="0" borderId="11" xfId="0" applyBorder="1"/>
    <xf numFmtId="0" fontId="0" fillId="0" borderId="26" xfId="0" applyBorder="1"/>
    <xf numFmtId="172" fontId="0" fillId="0" borderId="25" xfId="0" applyNumberFormat="1" applyFont="1" applyBorder="1" applyAlignment="1">
      <alignment horizontal="center"/>
    </xf>
    <xf numFmtId="0" fontId="0" fillId="0" borderId="27" xfId="0" applyFill="1" applyBorder="1"/>
    <xf numFmtId="9" fontId="0" fillId="0" borderId="28" xfId="0" applyNumberFormat="1" applyFont="1" applyBorder="1" applyAlignment="1">
      <alignment horizontal="center"/>
    </xf>
    <xf numFmtId="9" fontId="0" fillId="0" borderId="29" xfId="0" applyNumberFormat="1" applyFont="1" applyBorder="1" applyAlignment="1">
      <alignment horizontal="center"/>
    </xf>
    <xf numFmtId="0" fontId="0" fillId="0" borderId="0" xfId="0" applyFill="1" applyBorder="1" applyAlignment="1">
      <alignment horizontal="center"/>
    </xf>
    <xf numFmtId="173" fontId="0" fillId="0" borderId="0" xfId="0" applyNumberFormat="1"/>
    <xf numFmtId="174" fontId="0" fillId="0" borderId="0" xfId="0" applyNumberFormat="1" applyAlignment="1">
      <alignment horizontal="center"/>
    </xf>
    <xf numFmtId="174" fontId="0" fillId="0" borderId="1" xfId="0" applyNumberFormat="1" applyBorder="1" applyAlignment="1">
      <alignment horizontal="center"/>
    </xf>
    <xf numFmtId="174" fontId="0" fillId="0" borderId="0" xfId="0" applyNumberFormat="1" applyAlignment="1">
      <alignment vertical="center"/>
    </xf>
    <xf numFmtId="174" fontId="0" fillId="2" borderId="0" xfId="0" applyNumberFormat="1" applyFill="1" applyAlignment="1">
      <alignment vertical="center"/>
    </xf>
    <xf numFmtId="174" fontId="0" fillId="0" borderId="1" xfId="0" applyNumberFormat="1" applyBorder="1" applyAlignment="1">
      <alignment vertical="center"/>
    </xf>
    <xf numFmtId="174" fontId="0" fillId="2" borderId="1" xfId="0" applyNumberFormat="1" applyFill="1" applyBorder="1" applyAlignment="1">
      <alignment vertical="center"/>
    </xf>
    <xf numFmtId="1" fontId="0" fillId="0" borderId="7" xfId="0" applyNumberFormat="1" applyBorder="1"/>
    <xf numFmtId="174" fontId="0" fillId="0" borderId="0" xfId="0" applyNumberFormat="1" applyFill="1" applyAlignment="1">
      <alignment vertical="center"/>
    </xf>
    <xf numFmtId="174" fontId="0" fillId="0" borderId="1" xfId="0" applyNumberFormat="1" applyFill="1" applyBorder="1" applyAlignment="1">
      <alignment vertical="center"/>
    </xf>
    <xf numFmtId="166" fontId="0" fillId="0" borderId="0" xfId="0" applyNumberFormat="1"/>
    <xf numFmtId="9" fontId="0" fillId="0" borderId="0" xfId="3" applyFont="1" applyFill="1" applyBorder="1" applyAlignment="1">
      <alignment horizontal="center"/>
    </xf>
    <xf numFmtId="9" fontId="7" fillId="5" borderId="30" xfId="0" applyNumberFormat="1" applyFont="1" applyFill="1" applyBorder="1" applyAlignment="1">
      <alignment horizontal="center" vertical="center" wrapText="1"/>
    </xf>
    <xf numFmtId="9" fontId="7" fillId="5" borderId="31" xfId="0" applyNumberFormat="1" applyFont="1" applyFill="1" applyBorder="1" applyAlignment="1">
      <alignment horizontal="center" vertical="center" wrapText="1"/>
    </xf>
    <xf numFmtId="171" fontId="0" fillId="0" borderId="32" xfId="0" applyNumberFormat="1" applyFont="1" applyBorder="1" applyAlignment="1">
      <alignment horizontal="center"/>
    </xf>
    <xf numFmtId="171" fontId="0" fillId="0" borderId="33" xfId="0" applyNumberFormat="1" applyFont="1" applyBorder="1" applyAlignment="1">
      <alignment horizontal="center"/>
    </xf>
    <xf numFmtId="171" fontId="0" fillId="0" borderId="34" xfId="0" applyNumberFormat="1" applyFont="1" applyBorder="1" applyAlignment="1">
      <alignment horizontal="center"/>
    </xf>
    <xf numFmtId="0" fontId="14" fillId="0" borderId="22" xfId="0" applyFont="1" applyBorder="1" applyAlignment="1">
      <alignment horizontal="left" vertical="center" wrapText="1"/>
    </xf>
    <xf numFmtId="0" fontId="14" fillId="0" borderId="35" xfId="0" applyFont="1" applyBorder="1" applyAlignment="1">
      <alignment horizontal="left" vertical="center" wrapText="1"/>
    </xf>
    <xf numFmtId="0" fontId="14" fillId="0" borderId="37" xfId="0" applyFont="1" applyBorder="1" applyAlignment="1">
      <alignment horizontal="left" vertical="center" wrapText="1"/>
    </xf>
    <xf numFmtId="0" fontId="0" fillId="0" borderId="23" xfId="0"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173" fontId="0" fillId="0" borderId="1" xfId="0" applyNumberFormat="1" applyBorder="1"/>
    <xf numFmtId="2" fontId="0" fillId="0" borderId="5" xfId="0" applyNumberFormat="1" applyBorder="1"/>
    <xf numFmtId="0" fontId="0" fillId="0" borderId="0" xfId="0" applyFill="1" applyBorder="1" applyAlignment="1">
      <alignment vertical="center" wrapText="1"/>
    </xf>
    <xf numFmtId="10" fontId="0" fillId="0" borderId="0" xfId="3" applyNumberFormat="1" applyFont="1"/>
    <xf numFmtId="10" fontId="4" fillId="0" borderId="0" xfId="3" applyNumberFormat="1" applyFont="1"/>
    <xf numFmtId="0" fontId="4" fillId="0" borderId="0" xfId="0" applyFont="1" applyFill="1" applyBorder="1" applyAlignment="1">
      <alignment vertical="center" wrapText="1"/>
    </xf>
    <xf numFmtId="167" fontId="4" fillId="0" borderId="0" xfId="2" applyFont="1"/>
    <xf numFmtId="9" fontId="15" fillId="0" borderId="0" xfId="3" applyFont="1" applyFill="1" applyBorder="1" applyAlignment="1">
      <alignment horizontal="center"/>
    </xf>
    <xf numFmtId="0" fontId="9" fillId="6" borderId="0" xfId="0" applyFont="1" applyFill="1" applyAlignment="1">
      <alignment horizontal="justify" vertical="center"/>
    </xf>
    <xf numFmtId="0" fontId="9" fillId="7" borderId="0" xfId="0" applyFont="1" applyFill="1" applyAlignment="1">
      <alignment horizontal="justify" vertical="center"/>
    </xf>
    <xf numFmtId="0" fontId="7" fillId="7" borderId="0" xfId="0" applyFont="1" applyFill="1"/>
    <xf numFmtId="0" fontId="5" fillId="0" borderId="0" xfId="0" applyFont="1"/>
    <xf numFmtId="168" fontId="0" fillId="0" borderId="0" xfId="0" applyNumberFormat="1"/>
    <xf numFmtId="175" fontId="0" fillId="0" borderId="20" xfId="1" applyNumberFormat="1" applyFont="1" applyBorder="1" applyAlignment="1">
      <alignment horizontal="center"/>
    </xf>
    <xf numFmtId="175" fontId="0" fillId="0" borderId="25" xfId="1" applyNumberFormat="1" applyFont="1" applyBorder="1" applyAlignment="1">
      <alignment horizontal="center"/>
    </xf>
    <xf numFmtId="169" fontId="3" fillId="6" borderId="0" xfId="0" applyNumberFormat="1" applyFont="1" applyFill="1" applyBorder="1" applyAlignment="1">
      <alignment vertical="center"/>
    </xf>
    <xf numFmtId="169" fontId="3" fillId="7" borderId="0" xfId="0" applyNumberFormat="1" applyFont="1" applyFill="1" applyBorder="1" applyAlignment="1">
      <alignment vertical="center"/>
    </xf>
    <xf numFmtId="0" fontId="0" fillId="0" borderId="14" xfId="0" applyBorder="1"/>
    <xf numFmtId="9" fontId="15" fillId="8" borderId="0" xfId="3" applyFont="1" applyFill="1" applyBorder="1" applyAlignment="1">
      <alignment horizontal="center"/>
    </xf>
    <xf numFmtId="0" fontId="7" fillId="8" borderId="0" xfId="0" applyFont="1" applyFill="1"/>
    <xf numFmtId="169" fontId="3" fillId="8" borderId="0" xfId="0" applyNumberFormat="1" applyFont="1" applyFill="1" applyBorder="1" applyAlignment="1">
      <alignment vertical="center"/>
    </xf>
    <xf numFmtId="0" fontId="0" fillId="8" borderId="0" xfId="0" applyFill="1" applyBorder="1"/>
    <xf numFmtId="0" fontId="7" fillId="8" borderId="13" xfId="0" applyFont="1" applyFill="1" applyBorder="1"/>
    <xf numFmtId="169" fontId="3" fillId="8" borderId="13" xfId="0" applyNumberFormat="1" applyFont="1" applyFill="1" applyBorder="1" applyAlignment="1">
      <alignment vertical="center"/>
    </xf>
    <xf numFmtId="0" fontId="16" fillId="8" borderId="0" xfId="0" applyFont="1" applyFill="1" applyAlignment="1">
      <alignment wrapText="1"/>
    </xf>
    <xf numFmtId="0" fontId="7" fillId="8" borderId="0" xfId="0" applyFont="1" applyFill="1" applyAlignment="1">
      <alignment wrapText="1"/>
    </xf>
    <xf numFmtId="169" fontId="0" fillId="8" borderId="0" xfId="0" applyNumberFormat="1" applyFont="1" applyFill="1" applyBorder="1" applyAlignment="1">
      <alignment vertical="center"/>
    </xf>
    <xf numFmtId="164" fontId="0" fillId="0" borderId="0" xfId="1" applyFont="1"/>
    <xf numFmtId="9" fontId="4" fillId="0" borderId="0" xfId="3" applyFont="1" applyFill="1" applyBorder="1" applyAlignment="1">
      <alignment horizontal="center"/>
    </xf>
    <xf numFmtId="9" fontId="2" fillId="8" borderId="0" xfId="3" applyFont="1" applyFill="1" applyBorder="1" applyAlignment="1">
      <alignment horizontal="center" vertical="center"/>
    </xf>
    <xf numFmtId="9" fontId="15" fillId="0" borderId="0" xfId="3" applyFont="1" applyFill="1" applyBorder="1" applyAlignment="1">
      <alignment horizontal="center" vertical="center"/>
    </xf>
    <xf numFmtId="0" fontId="3" fillId="0" borderId="13" xfId="0" applyFont="1" applyFill="1" applyBorder="1" applyAlignment="1">
      <alignment horizontal="left"/>
    </xf>
    <xf numFmtId="0" fontId="7" fillId="9" borderId="0" xfId="0" applyFont="1" applyFill="1"/>
    <xf numFmtId="169" fontId="3" fillId="9" borderId="0" xfId="0" applyNumberFormat="1" applyFont="1" applyFill="1" applyBorder="1" applyAlignment="1">
      <alignment vertical="center"/>
    </xf>
    <xf numFmtId="0" fontId="7" fillId="9" borderId="0" xfId="0" applyFont="1" applyFill="1" applyAlignment="1">
      <alignment wrapText="1"/>
    </xf>
    <xf numFmtId="169" fontId="3" fillId="9" borderId="0" xfId="2" applyNumberFormat="1" applyFont="1" applyFill="1" applyBorder="1" applyAlignment="1">
      <alignment horizontal="left"/>
    </xf>
    <xf numFmtId="0" fontId="17" fillId="0" borderId="0" xfId="0" applyFont="1"/>
    <xf numFmtId="176" fontId="3" fillId="0" borderId="0" xfId="3" applyNumberFormat="1" applyFont="1" applyFill="1" applyBorder="1"/>
    <xf numFmtId="0" fontId="3" fillId="0" borderId="0" xfId="0" applyFont="1"/>
    <xf numFmtId="0" fontId="20" fillId="0" borderId="0" xfId="0" applyFont="1" applyAlignment="1">
      <alignment horizontal="justify" vertical="center"/>
    </xf>
    <xf numFmtId="0" fontId="14" fillId="0" borderId="39" xfId="0" applyFont="1" applyBorder="1" applyAlignment="1">
      <alignment horizontal="left" vertical="center" wrapText="1"/>
    </xf>
    <xf numFmtId="0" fontId="0" fillId="0" borderId="40" xfId="0" applyBorder="1" applyAlignment="1">
      <alignment vertical="center" wrapText="1"/>
    </xf>
    <xf numFmtId="0" fontId="1" fillId="0" borderId="0" xfId="0" applyFont="1"/>
    <xf numFmtId="9" fontId="1" fillId="2" borderId="0" xfId="3" applyFont="1" applyFill="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167" fontId="1" fillId="0" borderId="0" xfId="2" applyFont="1" applyAlignment="1">
      <alignment horizontal="center" vertical="center"/>
    </xf>
    <xf numFmtId="9" fontId="1" fillId="0" borderId="0" xfId="3" applyFont="1" applyAlignment="1">
      <alignment horizontal="center" vertical="center"/>
    </xf>
    <xf numFmtId="10" fontId="1" fillId="0" borderId="0" xfId="3" applyNumberFormat="1" applyFont="1" applyAlignment="1">
      <alignment horizontal="center" vertical="center"/>
    </xf>
    <xf numFmtId="176" fontId="1" fillId="0" borderId="0" xfId="0" applyNumberFormat="1" applyFont="1" applyAlignment="1">
      <alignment horizontal="center" vertical="center"/>
    </xf>
    <xf numFmtId="164" fontId="1" fillId="2" borderId="0" xfId="1" applyNumberFormat="1" applyFont="1" applyFill="1" applyAlignment="1">
      <alignment horizontal="center" vertical="center"/>
    </xf>
    <xf numFmtId="164" fontId="1" fillId="0" borderId="0" xfId="1" applyNumberFormat="1" applyFont="1" applyAlignment="1">
      <alignment horizontal="center" vertical="center"/>
    </xf>
    <xf numFmtId="164" fontId="3" fillId="2" borderId="0" xfId="0" applyNumberFormat="1" applyFont="1" applyFill="1" applyAlignment="1">
      <alignment horizontal="center"/>
    </xf>
    <xf numFmtId="9" fontId="21" fillId="2" borderId="0" xfId="3" applyFont="1" applyFill="1"/>
    <xf numFmtId="1" fontId="21" fillId="0" borderId="0" xfId="0" applyNumberFormat="1" applyFont="1"/>
    <xf numFmtId="0" fontId="21" fillId="0" borderId="0" xfId="0" applyFont="1"/>
    <xf numFmtId="167" fontId="21" fillId="0" borderId="0" xfId="2" applyFont="1"/>
    <xf numFmtId="9" fontId="21" fillId="0" borderId="0" xfId="3" applyFont="1"/>
    <xf numFmtId="167" fontId="21" fillId="0" borderId="0" xfId="0" applyNumberFormat="1" applyFont="1" applyAlignment="1">
      <alignment horizontal="center"/>
    </xf>
    <xf numFmtId="10" fontId="21" fillId="0" borderId="0" xfId="3" applyNumberFormat="1" applyFont="1" applyAlignment="1">
      <alignment horizontal="center"/>
    </xf>
    <xf numFmtId="9" fontId="21" fillId="0" borderId="0" xfId="0" applyNumberFormat="1" applyFont="1" applyAlignment="1">
      <alignment horizontal="center"/>
    </xf>
    <xf numFmtId="1" fontId="21" fillId="0" borderId="0" xfId="0" applyNumberFormat="1" applyFont="1" applyAlignment="1">
      <alignment horizontal="center"/>
    </xf>
    <xf numFmtId="0" fontId="21" fillId="0" borderId="0" xfId="0" applyFont="1" applyAlignment="1">
      <alignment horizontal="center"/>
    </xf>
    <xf numFmtId="176" fontId="21" fillId="0" borderId="0" xfId="0" applyNumberFormat="1" applyFont="1" applyAlignment="1">
      <alignment horizontal="center"/>
    </xf>
    <xf numFmtId="164" fontId="21" fillId="0" borderId="0" xfId="1" applyNumberFormat="1" applyFont="1" applyAlignment="1">
      <alignment horizontal="center"/>
    </xf>
    <xf numFmtId="164" fontId="21" fillId="0" borderId="0" xfId="1" applyNumberFormat="1" applyFont="1"/>
    <xf numFmtId="176" fontId="21" fillId="0" borderId="0" xfId="3" applyNumberFormat="1" applyFont="1"/>
    <xf numFmtId="168" fontId="21" fillId="0" borderId="0" xfId="0" applyNumberFormat="1" applyFont="1"/>
    <xf numFmtId="164" fontId="21" fillId="0" borderId="0" xfId="0" applyNumberFormat="1" applyFont="1"/>
    <xf numFmtId="9" fontId="21" fillId="0" borderId="0" xfId="0" applyNumberFormat="1" applyFont="1"/>
    <xf numFmtId="9" fontId="21" fillId="0" borderId="0" xfId="2" applyNumberFormat="1" applyFont="1"/>
    <xf numFmtId="0" fontId="6" fillId="0" borderId="1" xfId="0" applyFont="1" applyBorder="1" applyAlignment="1">
      <alignment horizontal="left"/>
    </xf>
  </cellXfs>
  <cellStyles count="38">
    <cellStyle name="Comma [0]" xfId="1" builtinId="6"/>
    <cellStyle name="Currency [0]" xfId="2" builtinId="7"/>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Percent" xfId="3" builtinId="5"/>
  </cellStyles>
  <dxfs count="17">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Análisis de Sensibilidad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v>10%</c:v>
          </c:tx>
          <c:spPr>
            <a:ln w="28575" cap="rnd">
              <a:solidFill>
                <a:schemeClr val="accent6">
                  <a:lumMod val="50000"/>
                </a:schemeClr>
              </a:solidFill>
              <a:round/>
            </a:ln>
            <a:effectLst/>
          </c:spPr>
          <c:marker>
            <c:symbol val="none"/>
          </c:marker>
          <c:cat>
            <c:numRef>
              <c:f>CBA!$C$52:$N$52</c:f>
              <c:numCache>
                <c:formatCode>General</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CBA!$C$55:$N$55</c:f>
              <c:numCache>
                <c:formatCode>_-[$$-409]* #,##0.00_ ;_-[$$-409]* \-#,##0.00\ ;_-[$$-409]* "-"??_ ;_-@_ </c:formatCode>
                <c:ptCount val="12"/>
                <c:pt idx="0">
                  <c:v>-236324212.25</c:v>
                </c:pt>
                <c:pt idx="1">
                  <c:v>-6635061903.1669121</c:v>
                </c:pt>
                <c:pt idx="2">
                  <c:v>-8894365364.199152</c:v>
                </c:pt>
                <c:pt idx="3">
                  <c:v>-4196917911.2419701</c:v>
                </c:pt>
                <c:pt idx="4">
                  <c:v>993212845.63295269</c:v>
                </c:pt>
                <c:pt idx="5">
                  <c:v>6417329688.835741</c:v>
                </c:pt>
                <c:pt idx="6">
                  <c:v>6104293945.7100239</c:v>
                </c:pt>
                <c:pt idx="7">
                  <c:v>5806528008.1304932</c:v>
                </c:pt>
                <c:pt idx="8">
                  <c:v>5523287018.787591</c:v>
                </c:pt>
                <c:pt idx="9">
                  <c:v>5253862454.3257217</c:v>
                </c:pt>
                <c:pt idx="10">
                  <c:v>4997580352.9820185</c:v>
                </c:pt>
                <c:pt idx="11">
                  <c:v>4753799628.6804705</c:v>
                </c:pt>
              </c:numCache>
            </c:numRef>
          </c:val>
          <c:smooth val="0"/>
          <c:extLst>
            <c:ext xmlns:c16="http://schemas.microsoft.com/office/drawing/2014/chart" uri="{C3380CC4-5D6E-409C-BE32-E72D297353CC}">
              <c16:uniqueId val="{00000000-0019-D04A-AD4B-3799EC0FE841}"/>
            </c:ext>
          </c:extLst>
        </c:ser>
        <c:ser>
          <c:idx val="1"/>
          <c:order val="1"/>
          <c:tx>
            <c:v>12%</c:v>
          </c:tx>
          <c:spPr>
            <a:ln w="28575" cap="rnd">
              <a:solidFill>
                <a:schemeClr val="accent4">
                  <a:lumMod val="50000"/>
                </a:schemeClr>
              </a:solidFill>
              <a:round/>
            </a:ln>
            <a:effectLst/>
          </c:spPr>
          <c:marker>
            <c:symbol val="none"/>
          </c:marker>
          <c:cat>
            <c:numRef>
              <c:f>CBA!$C$52:$N$52</c:f>
              <c:numCache>
                <c:formatCode>General</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CBA!$C$60:$N$60</c:f>
              <c:numCache>
                <c:formatCode>_-[$$-409]* #,##0.00_ ;_-[$$-409]* \-#,##0.00\ ;_-[$$-409]* "-"??_ ;_-@_ </c:formatCode>
                <c:ptCount val="12"/>
                <c:pt idx="0">
                  <c:v>-236324212.25</c:v>
                </c:pt>
                <c:pt idx="1">
                  <c:v>-6199592647.1541729</c:v>
                </c:pt>
                <c:pt idx="2">
                  <c:v>-8065911015.766366</c:v>
                </c:pt>
                <c:pt idx="3">
                  <c:v>-3408875359.4881887</c:v>
                </c:pt>
                <c:pt idx="4">
                  <c:v>1742814878.0797567</c:v>
                </c:pt>
                <c:pt idx="5">
                  <c:v>7130366320.9285994</c:v>
                </c:pt>
                <c:pt idx="6">
                  <c:v>6782548828.5666924</c:v>
                </c:pt>
                <c:pt idx="7">
                  <c:v>6451697786.8116541</c:v>
                </c:pt>
                <c:pt idx="8">
                  <c:v>6136985576.4306526</c:v>
                </c:pt>
                <c:pt idx="9">
                  <c:v>5837624949.2507954</c:v>
                </c:pt>
                <c:pt idx="10">
                  <c:v>5552867058.8689051</c:v>
                </c:pt>
                <c:pt idx="11">
                  <c:v>5281999587.4227428</c:v>
                </c:pt>
              </c:numCache>
            </c:numRef>
          </c:val>
          <c:smooth val="0"/>
          <c:extLst>
            <c:ext xmlns:c16="http://schemas.microsoft.com/office/drawing/2014/chart" uri="{C3380CC4-5D6E-409C-BE32-E72D297353CC}">
              <c16:uniqueId val="{00000001-0019-D04A-AD4B-3799EC0FE841}"/>
            </c:ext>
          </c:extLst>
        </c:ser>
        <c:ser>
          <c:idx val="2"/>
          <c:order val="2"/>
          <c:tx>
            <c:v>15%</c:v>
          </c:tx>
          <c:spPr>
            <a:ln w="28575" cap="rnd">
              <a:solidFill>
                <a:schemeClr val="accent2">
                  <a:lumMod val="50000"/>
                </a:schemeClr>
              </a:solidFill>
              <a:round/>
            </a:ln>
            <a:effectLst/>
          </c:spPr>
          <c:marker>
            <c:symbol val="none"/>
          </c:marker>
          <c:cat>
            <c:numRef>
              <c:f>CBA!$C$52:$N$52</c:f>
              <c:numCache>
                <c:formatCode>General</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CBA!$C$65:$N$65</c:f>
              <c:numCache>
                <c:formatCode>_-[$$-409]* #,##0.00_ ;_-[$$-409]* \-#,##0.00\ ;_-[$$-409]* "-"??_ ;_-@_ </c:formatCode>
                <c:ptCount val="12"/>
                <c:pt idx="0">
                  <c:v>-236324212.25</c:v>
                </c:pt>
                <c:pt idx="1">
                  <c:v>-5764123391.1414337</c:v>
                </c:pt>
                <c:pt idx="2">
                  <c:v>-7237456667.3335724</c:v>
                </c:pt>
                <c:pt idx="3">
                  <c:v>-2620832807.7344074</c:v>
                </c:pt>
                <c:pt idx="4">
                  <c:v>2492416910.5265608</c:v>
                </c:pt>
                <c:pt idx="5">
                  <c:v>7843402953.0214624</c:v>
                </c:pt>
                <c:pt idx="6">
                  <c:v>7460803711.4233637</c:v>
                </c:pt>
                <c:pt idx="7">
                  <c:v>7096867565.4928217</c:v>
                </c:pt>
                <c:pt idx="8">
                  <c:v>6750684134.07372</c:v>
                </c:pt>
                <c:pt idx="9">
                  <c:v>6421387444.1758804</c:v>
                </c:pt>
                <c:pt idx="10">
                  <c:v>6108153764.7558012</c:v>
                </c:pt>
                <c:pt idx="11">
                  <c:v>5810199546.165019</c:v>
                </c:pt>
              </c:numCache>
            </c:numRef>
          </c:val>
          <c:smooth val="0"/>
          <c:extLst>
            <c:ext xmlns:c16="http://schemas.microsoft.com/office/drawing/2014/chart" uri="{C3380CC4-5D6E-409C-BE32-E72D297353CC}">
              <c16:uniqueId val="{00000002-0019-D04A-AD4B-3799EC0FE841}"/>
            </c:ext>
          </c:extLst>
        </c:ser>
        <c:dLbls>
          <c:showLegendKey val="0"/>
          <c:showVal val="0"/>
          <c:showCatName val="0"/>
          <c:showSerName val="0"/>
          <c:showPercent val="0"/>
          <c:showBubbleSize val="0"/>
        </c:dLbls>
        <c:smooth val="0"/>
        <c:axId val="2129947768"/>
        <c:axId val="2056314168"/>
      </c:lineChart>
      <c:catAx>
        <c:axId val="2129947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56314168"/>
        <c:crossesAt val="0"/>
        <c:auto val="1"/>
        <c:lblAlgn val="ctr"/>
        <c:lblOffset val="100"/>
        <c:noMultiLvlLbl val="0"/>
      </c:catAx>
      <c:valAx>
        <c:axId val="2056314168"/>
        <c:scaling>
          <c:orientation val="minMax"/>
        </c:scaling>
        <c:delete val="1"/>
        <c:axPos val="l"/>
        <c:numFmt formatCode="_-[$$-409]* #,##0.00_ ;_-[$$-409]* \-#,##0.00\ ;_-[$$-409]* &quot;-&quot;??_ ;_-@_ " sourceLinked="1"/>
        <c:majorTickMark val="none"/>
        <c:minorTickMark val="none"/>
        <c:tickLblPos val="nextTo"/>
        <c:crossAx val="21299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635000</xdr:colOff>
      <xdr:row>77</xdr:row>
      <xdr:rowOff>6350</xdr:rowOff>
    </xdr:from>
    <xdr:to>
      <xdr:col>4</xdr:col>
      <xdr:colOff>63500</xdr:colOff>
      <xdr:row>96</xdr:row>
      <xdr:rowOff>50800</xdr:rowOff>
    </xdr:to>
    <xdr:graphicFrame macro="">
      <xdr:nvGraphicFramePr>
        <xdr:cNvPr id="2" name="Chart 1">
          <a:extLst>
            <a:ext uri="{FF2B5EF4-FFF2-40B4-BE49-F238E27FC236}">
              <a16:creationId xmlns:a16="http://schemas.microsoft.com/office/drawing/2014/main" id="{89178367-6884-2641-AA2B-C05C634CF4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lipeGartnerJaramillo/Library/Containers/com.microsoft.Excel/Data/Downloads/PREGUNTAS%20DDJN%20COSTO%20ABOGADO%20PROCE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lipeGartnerJaramillo/Google%20Drive/Independiente/BID%20-%20ANDJE/Evaluaci&#243;n%20econ&#243;mica/Informaci&#243;n%202019/3.0/&#218;ltima%20versi&#243;n/&#218;ltima%20Versi&#243;n%20Gast&#243;n/Propuesta%20de%20coste%20por%20&#237;tems%20POD%2020190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ji"/>
      <sheetName val="ddjn"/>
    </sheetNames>
    <sheetDataSet>
      <sheetData sheetId="0" refreshError="1"/>
      <sheetData sheetId="1" refreshError="1">
        <row r="2">
          <cell r="A2">
            <v>157</v>
          </cell>
          <cell r="B2">
            <v>36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final"/>
      <sheetName val="Productos"/>
    </sheetNames>
    <sheetDataSet>
      <sheetData sheetId="0">
        <row r="3">
          <cell r="G3" t="str">
            <v>Modelo de Gestión Integral diseñado e implementado (incluye diagnóstico)</v>
          </cell>
        </row>
        <row r="4">
          <cell r="G4" t="str">
            <v>Diseño Modelo Arquitectura de Datos</v>
          </cell>
        </row>
        <row r="5">
          <cell r="G5" t="str">
            <v>Diagnóstico y optimización del  portafolio actual de productos y servicios</v>
          </cell>
        </row>
        <row r="6">
          <cell r="G6" t="str">
            <v xml:space="preserve">Diseño de nuevos productos y servicios del portafolio: Gestión de casos, expediente electrónico, entre los principales) </v>
          </cell>
        </row>
        <row r="7">
          <cell r="G7" t="str">
            <v>Diseño e implementación de herramienta para la gestión de grupos de interés (CRM)</v>
          </cell>
        </row>
        <row r="14">
          <cell r="G14" t="str">
            <v>Diseño e implementación nuevos modulos de eKOGUI</v>
          </cell>
        </row>
        <row r="15">
          <cell r="G15" t="str">
            <v>Desarrollo e implementación de herrramientas para el análisis predictivo y prospectivo</v>
          </cell>
        </row>
        <row r="16">
          <cell r="G16" t="str">
            <v>Diagnóstico, optimización e implementación de estrategia de conocimiento</v>
          </cell>
        </row>
        <row r="17">
          <cell r="G17" t="str">
            <v>Desarrollo de proteciones de ciberseguridad e infraestuctura y servicios TIC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2"/>
  <sheetViews>
    <sheetView showGridLines="0" workbookViewId="0">
      <selection activeCell="D11" sqref="D11"/>
    </sheetView>
  </sheetViews>
  <sheetFormatPr defaultColWidth="11.19921875" defaultRowHeight="15.6"/>
  <cols>
    <col min="2" max="2" width="56" bestFit="1" customWidth="1"/>
    <col min="3" max="3" width="18.5" bestFit="1" customWidth="1"/>
    <col min="4" max="4" width="65.296875" bestFit="1" customWidth="1"/>
  </cols>
  <sheetData>
    <row r="3" spans="2:4" ht="23.4">
      <c r="B3" s="1" t="s">
        <v>137</v>
      </c>
    </row>
    <row r="4" spans="2:4" ht="18">
      <c r="B4" s="181" t="s">
        <v>139</v>
      </c>
      <c r="C4" s="181"/>
      <c r="D4" s="181"/>
    </row>
    <row r="6" spans="2:4">
      <c r="B6" s="14" t="s">
        <v>1</v>
      </c>
      <c r="C6" s="9"/>
      <c r="D6" s="9"/>
    </row>
    <row r="7" spans="2:4">
      <c r="B7" t="s">
        <v>2</v>
      </c>
      <c r="C7" s="153">
        <v>0.12</v>
      </c>
      <c r="D7" t="s">
        <v>78</v>
      </c>
    </row>
    <row r="8" spans="2:4">
      <c r="B8" t="s">
        <v>3</v>
      </c>
      <c r="C8" s="154">
        <v>157</v>
      </c>
      <c r="D8" t="str">
        <f>D10</f>
        <v>Agencia Nacional de Defensa Jurídica del Estado de la República de Colombia</v>
      </c>
    </row>
    <row r="9" spans="2:4">
      <c r="B9" t="s">
        <v>5</v>
      </c>
      <c r="C9" s="155">
        <v>2019</v>
      </c>
    </row>
    <row r="10" spans="2:4">
      <c r="B10" t="s">
        <v>71</v>
      </c>
      <c r="C10" s="155">
        <f>[1]ddjn!$B$2</f>
        <v>36</v>
      </c>
      <c r="D10" t="s">
        <v>77</v>
      </c>
    </row>
    <row r="11" spans="2:4">
      <c r="B11" t="s">
        <v>28</v>
      </c>
      <c r="C11" s="156">
        <v>3151</v>
      </c>
      <c r="D11" t="s">
        <v>76</v>
      </c>
    </row>
    <row r="12" spans="2:4">
      <c r="B12" t="s">
        <v>29</v>
      </c>
      <c r="C12" s="157">
        <v>0.03</v>
      </c>
      <c r="D12" t="s">
        <v>105</v>
      </c>
    </row>
    <row r="13" spans="2:4">
      <c r="B13" t="s">
        <v>100</v>
      </c>
      <c r="C13" s="158">
        <f>AVERAGE(Supuestos!B49:D49)</f>
        <v>6.5366679086047055E-2</v>
      </c>
      <c r="D13" t="s">
        <v>92</v>
      </c>
    </row>
    <row r="14" spans="2:4">
      <c r="B14" t="s">
        <v>31</v>
      </c>
      <c r="C14" s="155"/>
    </row>
    <row r="15" spans="2:4">
      <c r="B15" s="10" t="s">
        <v>33</v>
      </c>
      <c r="C15" s="159">
        <v>0.22500000000000001</v>
      </c>
      <c r="D15" s="152" t="s">
        <v>104</v>
      </c>
    </row>
    <row r="16" spans="2:4">
      <c r="B16" s="10" t="s">
        <v>34</v>
      </c>
      <c r="C16" s="159">
        <v>0.25</v>
      </c>
      <c r="D16" s="152" t="s">
        <v>104</v>
      </c>
    </row>
    <row r="17" spans="2:4">
      <c r="B17" s="10" t="s">
        <v>35</v>
      </c>
      <c r="C17" s="159">
        <v>0.27500000000000002</v>
      </c>
      <c r="D17" s="152" t="s">
        <v>104</v>
      </c>
    </row>
    <row r="18" spans="2:4">
      <c r="B18" t="s">
        <v>138</v>
      </c>
      <c r="C18" s="160">
        <v>1</v>
      </c>
      <c r="D18" t="str">
        <f>CBA!D18</f>
        <v>Escenario 3. Optimista</v>
      </c>
    </row>
    <row r="19" spans="2:4">
      <c r="B19" t="s">
        <v>127</v>
      </c>
      <c r="C19" s="155">
        <v>500</v>
      </c>
      <c r="D19" t="str">
        <f>D21</f>
        <v>Agencia Nacional de Defensa Jurídica del Estado de la República de Colombia</v>
      </c>
    </row>
    <row r="20" spans="2:4">
      <c r="B20" t="s">
        <v>106</v>
      </c>
      <c r="C20" s="161">
        <v>27</v>
      </c>
      <c r="D20" t="str">
        <f>D19</f>
        <v>Agencia Nacional de Defensa Jurídica del Estado de la República de Colombia</v>
      </c>
    </row>
    <row r="21" spans="2:4">
      <c r="B21" t="s">
        <v>123</v>
      </c>
      <c r="C21" s="156">
        <f>(59158836730*1.0318)*0.6</f>
        <v>36624052642.808395</v>
      </c>
      <c r="D21" t="s">
        <v>77</v>
      </c>
    </row>
    <row r="22" spans="2:4">
      <c r="B22" t="s">
        <v>69</v>
      </c>
      <c r="C22" s="157">
        <v>0.19</v>
      </c>
      <c r="D22" t="s">
        <v>79</v>
      </c>
    </row>
  </sheetData>
  <mergeCells count="1">
    <mergeCell ref="B4:D4"/>
  </mergeCells>
  <conditionalFormatting sqref="D15:D17">
    <cfRule type="iconSet" priority="1">
      <iconSet iconSet="4TrafficLights">
        <cfvo type="percent" val="0"/>
        <cfvo type="percent" val="25"/>
        <cfvo type="percent" val="50"/>
        <cfvo type="percent" val="75"/>
      </iconSet>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CBA!$A$102:$A$105</xm:f>
          </x14:formula1>
          <xm:sqref>C7</xm:sqref>
        </x14:dataValidation>
        <x14:dataValidation type="list" allowBlank="1" showInputMessage="1" showErrorMessage="1" xr:uid="{00000000-0002-0000-0000-000001000000}">
          <x14:formula1>
            <xm:f>CBA!$A$19:$A$22</xm:f>
          </x14:formula1>
          <xm:sqref>C18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04"/>
  <sheetViews>
    <sheetView showGridLines="0" topLeftCell="A16" zoomScale="80" zoomScaleNormal="80" zoomScalePageLayoutView="80" workbookViewId="0">
      <selection activeCell="B3" sqref="B3:D3"/>
    </sheetView>
  </sheetViews>
  <sheetFormatPr defaultColWidth="11.19921875" defaultRowHeight="15.6"/>
  <cols>
    <col min="1" max="1" width="8.19921875" customWidth="1"/>
    <col min="2" max="2" width="52.19921875" bestFit="1" customWidth="1"/>
    <col min="3" max="4" width="19.796875" bestFit="1" customWidth="1"/>
    <col min="5" max="5" width="19.19921875" bestFit="1" customWidth="1"/>
    <col min="6" max="11" width="19" bestFit="1" customWidth="1"/>
    <col min="12" max="14" width="18.69921875" bestFit="1" customWidth="1"/>
  </cols>
  <sheetData>
    <row r="2" spans="2:14" ht="23.4">
      <c r="B2" s="1" t="s">
        <v>0</v>
      </c>
    </row>
    <row r="3" spans="2:14" ht="18">
      <c r="B3" s="181" t="s">
        <v>139</v>
      </c>
      <c r="C3" s="181"/>
      <c r="D3" s="181"/>
      <c r="E3" s="9"/>
      <c r="F3" s="9"/>
      <c r="G3" s="9"/>
      <c r="H3" s="9"/>
      <c r="I3" s="9"/>
      <c r="J3" s="9"/>
      <c r="K3" s="9"/>
      <c r="L3" s="9"/>
      <c r="M3" s="9"/>
      <c r="N3" s="9"/>
    </row>
    <row r="5" spans="2:14">
      <c r="B5" s="14" t="s">
        <v>1</v>
      </c>
      <c r="C5" s="9"/>
      <c r="D5" s="9"/>
      <c r="E5" s="9"/>
      <c r="F5" s="9"/>
      <c r="G5" s="9"/>
      <c r="H5" s="9"/>
      <c r="I5" s="9"/>
      <c r="J5" s="9"/>
      <c r="K5" s="9"/>
      <c r="L5" s="9"/>
      <c r="M5" s="9"/>
      <c r="N5" s="9"/>
    </row>
    <row r="6" spans="2:14">
      <c r="B6" t="s">
        <v>2</v>
      </c>
      <c r="C6" s="163">
        <f>'Tablero de Control'!C7</f>
        <v>0.12</v>
      </c>
      <c r="D6" t="s">
        <v>78</v>
      </c>
    </row>
    <row r="7" spans="2:14">
      <c r="B7" t="s">
        <v>3</v>
      </c>
      <c r="C7" s="164">
        <f>'Tablero de Control'!C8</f>
        <v>157</v>
      </c>
      <c r="D7" t="str">
        <f>D10</f>
        <v>Agencia Nacional de Defensa Jurídica del Estado de la República de Colombia</v>
      </c>
    </row>
    <row r="8" spans="2:14">
      <c r="B8" t="s">
        <v>4</v>
      </c>
      <c r="C8" s="164">
        <f>IF(C18=1,Beneficios!F29,IF(CBA!C18=2,Beneficios!F30,IF(CBA!C18=3,Beneficios!F31,"")))</f>
        <v>200.17499999999998</v>
      </c>
      <c r="D8" t="s">
        <v>104</v>
      </c>
    </row>
    <row r="9" spans="2:14">
      <c r="B9" t="s">
        <v>5</v>
      </c>
      <c r="C9" s="165">
        <f>'Tablero de Control'!C9</f>
        <v>2019</v>
      </c>
    </row>
    <row r="10" spans="2:14">
      <c r="B10" t="s">
        <v>71</v>
      </c>
      <c r="C10" s="165">
        <f>'Tablero de Control'!C10</f>
        <v>36</v>
      </c>
      <c r="D10" t="s">
        <v>77</v>
      </c>
    </row>
    <row r="11" spans="2:14">
      <c r="B11" t="s">
        <v>28</v>
      </c>
      <c r="C11" s="166">
        <f>'Tablero de Control'!C11</f>
        <v>3151</v>
      </c>
      <c r="D11" t="s">
        <v>76</v>
      </c>
    </row>
    <row r="12" spans="2:14">
      <c r="B12" t="s">
        <v>29</v>
      </c>
      <c r="C12" s="167">
        <f>'Tablero de Control'!C12</f>
        <v>0.03</v>
      </c>
      <c r="D12" t="s">
        <v>105</v>
      </c>
    </row>
    <row r="13" spans="2:14">
      <c r="B13" t="s">
        <v>6</v>
      </c>
    </row>
    <row r="16" spans="2:14">
      <c r="B16" s="14" t="s">
        <v>8</v>
      </c>
      <c r="C16" s="9"/>
      <c r="D16" s="9"/>
      <c r="E16" s="9"/>
      <c r="F16" s="9"/>
      <c r="G16" s="9"/>
      <c r="H16" s="9"/>
      <c r="I16" s="9"/>
      <c r="J16" s="9"/>
      <c r="K16" s="9"/>
      <c r="L16" s="9"/>
      <c r="M16" s="9"/>
      <c r="N16" s="9"/>
    </row>
    <row r="18" spans="1:14">
      <c r="A18" t="s">
        <v>7</v>
      </c>
      <c r="B18" t="s">
        <v>80</v>
      </c>
      <c r="C18" s="162">
        <v>3</v>
      </c>
      <c r="D18" t="str">
        <f>IF(C18=1,Beneficios!B29,IF(C18=2,Beneficios!B30,IF(C18=3,Beneficios!B31,"")))</f>
        <v>Escenario 3. Optimista</v>
      </c>
    </row>
    <row r="19" spans="1:14">
      <c r="A19" s="2">
        <v>1</v>
      </c>
    </row>
    <row r="20" spans="1:14">
      <c r="A20" s="2">
        <v>2</v>
      </c>
      <c r="B20" s="23" t="s">
        <v>9</v>
      </c>
      <c r="C20" s="23">
        <v>2019</v>
      </c>
      <c r="D20" s="23">
        <v>2020</v>
      </c>
      <c r="E20" s="23">
        <v>2021</v>
      </c>
      <c r="F20" s="23">
        <v>2022</v>
      </c>
      <c r="G20" s="23">
        <v>2023</v>
      </c>
      <c r="H20" s="23">
        <v>2024</v>
      </c>
      <c r="I20" s="23">
        <v>2025</v>
      </c>
      <c r="J20" s="23">
        <v>2026</v>
      </c>
      <c r="K20" s="23">
        <v>2027</v>
      </c>
      <c r="L20" s="23">
        <v>2028</v>
      </c>
      <c r="M20" s="23">
        <v>2029</v>
      </c>
      <c r="N20" s="23">
        <v>2030</v>
      </c>
    </row>
    <row r="21" spans="1:14">
      <c r="A21" s="2">
        <v>3</v>
      </c>
      <c r="B21" s="52" t="s">
        <v>10</v>
      </c>
      <c r="C21" s="54">
        <f>+IF($C$18=1,Beneficios!C43,IF(CBA!$C$18=2,Beneficios!C44,IF(CBA!$C$18=3,Beneficios!C45,"")))/((1))</f>
        <v>0</v>
      </c>
      <c r="D21" s="54">
        <f>+IF($C$18=1,Beneficios!D43,IF(CBA!$C$18=2,Beneficios!D44,IF(CBA!$C$18=3,Beneficios!D45,"")))/((1+CBA!C6)^(D20-$C$20))</f>
        <v>4790161816.1401196</v>
      </c>
      <c r="E21" s="54">
        <f>+IF($C$18=1,Beneficios!E43,IF(CBA!$C$18=2,Beneficios!E44,IF(CBA!$C$18=3,Beneficios!E45,"")))/((1+CBA!C6)^(E20-$C$20))</f>
        <v>9112997832.7606888</v>
      </c>
      <c r="F21" s="54">
        <f>+IF($C$18=1,Beneficios!F43,IF(CBA!$C$18=2,Beneficios!F44,IF(CBA!$C$18=3,Beneficios!F45,"")))/((1+CBA!C6)^(F20-$C$20))</f>
        <v>8668468069.2916031</v>
      </c>
      <c r="G21" s="54">
        <f>+IF($C$18=1,Beneficios!G43,IF(CBA!$C$18=2,Beneficios!G44,IF(CBA!$C$18=3,Beneficios!G45,"")))/((1+CBA!C6)^(G20-$C$20))</f>
        <v>8245622356.9148483</v>
      </c>
      <c r="H21" s="54">
        <f>+IF($C$18=1,Beneficios!H43,IF(CBA!$C$18=2,Beneficios!H44,IF(CBA!$C$18=3,Beneficios!H45,"")))/((1+CBA!C6)^(H20-$C$20))</f>
        <v>7843402953.0214624</v>
      </c>
      <c r="I21" s="54">
        <f>+IF($C$18=1,Beneficios!I43,IF(CBA!$C$18=2,Beneficios!I44,IF(CBA!$C$18=3,Beneficios!I45,"")))/((1+CBA!C6)^(I20-$C$20))</f>
        <v>7460803711.4233637</v>
      </c>
      <c r="J21" s="54">
        <f>+IF($C$18=1,Beneficios!J43,IF(CBA!$C$18=2,Beneficios!J44,IF(CBA!$C$18=3,Beneficios!J45,"")))/((1+CBA!C6)^(J20-$C$20))</f>
        <v>7096867565.4928217</v>
      </c>
      <c r="K21" s="54">
        <f>+IF($C$18=1,Beneficios!K43,IF(CBA!$C$18=2,Beneficios!K44,IF(CBA!$C$18=3,Beneficios!K45,"")))/((1+CBA!C6)^(K20-$C$20))</f>
        <v>6750684134.07372</v>
      </c>
      <c r="L21" s="54">
        <f>+IF($C$18=1,Beneficios!L43,IF(CBA!$C$18=2,Beneficios!L44,IF(CBA!$C$18=3,Beneficios!L45,"")))/((1+CBA!C6)^(L20-$C$20))</f>
        <v>6421387444.1758804</v>
      </c>
      <c r="M21" s="54">
        <f>+IF($C$18=1,Beneficios!M43,IF(CBA!$C$18=2,Beneficios!M44,IF(CBA!$C$18=3,Beneficios!M45,"")))/((1+CBA!C6)^(M20-$C$20))</f>
        <v>6108153764.7558012</v>
      </c>
      <c r="N21" s="54">
        <f>+IF($C$18=1,Beneficios!N43,IF(CBA!$C$18=2,Beneficios!N44,IF(CBA!$C$18=3,Beneficios!N45,"")))/((1+CBA!C6)^(N20-$C$20))</f>
        <v>5810199546.165019</v>
      </c>
    </row>
    <row r="23" spans="1:14">
      <c r="B23" s="52" t="s">
        <v>11</v>
      </c>
      <c r="C23" s="53">
        <f>C24</f>
        <v>236324212.25</v>
      </c>
      <c r="D23" s="53">
        <f t="shared" ref="D23:N23" si="0">D24</f>
        <v>10554285207.281553</v>
      </c>
      <c r="E23" s="53">
        <f t="shared" si="0"/>
        <v>16350454500.094261</v>
      </c>
      <c r="F23" s="53">
        <f t="shared" si="0"/>
        <v>11289300877.026011</v>
      </c>
      <c r="G23" s="53">
        <f t="shared" si="0"/>
        <v>5753205446.3882875</v>
      </c>
      <c r="H23" s="53">
        <f t="shared" si="0"/>
        <v>0</v>
      </c>
      <c r="I23" s="53">
        <f t="shared" si="0"/>
        <v>0</v>
      </c>
      <c r="J23" s="53">
        <f t="shared" si="0"/>
        <v>0</v>
      </c>
      <c r="K23" s="53">
        <f t="shared" si="0"/>
        <v>0</v>
      </c>
      <c r="L23" s="53">
        <f t="shared" si="0"/>
        <v>0</v>
      </c>
      <c r="M23" s="53">
        <f t="shared" si="0"/>
        <v>0</v>
      </c>
      <c r="N23" s="53">
        <f t="shared" si="0"/>
        <v>0</v>
      </c>
    </row>
    <row r="24" spans="1:14">
      <c r="B24" s="3" t="s">
        <v>12</v>
      </c>
      <c r="C24" s="51">
        <f>SUM(C25:C26)</f>
        <v>236324212.25</v>
      </c>
      <c r="D24" s="51">
        <f t="shared" ref="D24:N24" si="1">SUM(D25:D26)</f>
        <v>10554285207.281553</v>
      </c>
      <c r="E24" s="51">
        <f t="shared" si="1"/>
        <v>16350454500.094261</v>
      </c>
      <c r="F24" s="51">
        <f t="shared" si="1"/>
        <v>11289300877.026011</v>
      </c>
      <c r="G24" s="51">
        <f t="shared" si="1"/>
        <v>5753205446.3882875</v>
      </c>
      <c r="H24" s="51">
        <f t="shared" si="1"/>
        <v>0</v>
      </c>
      <c r="I24" s="51">
        <f t="shared" si="1"/>
        <v>0</v>
      </c>
      <c r="J24" s="51">
        <f t="shared" si="1"/>
        <v>0</v>
      </c>
      <c r="K24" s="51">
        <f t="shared" si="1"/>
        <v>0</v>
      </c>
      <c r="L24" s="51">
        <f t="shared" si="1"/>
        <v>0</v>
      </c>
      <c r="M24" s="51">
        <f t="shared" si="1"/>
        <v>0</v>
      </c>
      <c r="N24" s="51">
        <f t="shared" si="1"/>
        <v>0</v>
      </c>
    </row>
    <row r="25" spans="1:14">
      <c r="B25" t="s">
        <v>13</v>
      </c>
      <c r="C25" s="22">
        <f>Costos!C71</f>
        <v>236324212.25</v>
      </c>
      <c r="D25" s="22">
        <f>Costos!D71/((1+$C$12)^(D20-$C$20))</f>
        <v>10554285207.281553</v>
      </c>
      <c r="E25" s="22">
        <f>Costos!E71/((1+$C$12)^(E20-$C$20))</f>
        <v>16350454500.094261</v>
      </c>
      <c r="F25" s="22">
        <f>Costos!F71/((1+$C$12)^(F20-$C$20))</f>
        <v>11289300877.026011</v>
      </c>
      <c r="G25" s="22">
        <f>Costos!G71/((1+$C$12)^(G20-$C$20))</f>
        <v>5753205446.3882875</v>
      </c>
      <c r="H25" s="22">
        <f>Costos!H71/((1+$C$12)^(H20-$C$20))</f>
        <v>0</v>
      </c>
      <c r="I25" s="22">
        <f>Costos!I71/((1+$C$12)^(I20-$C$20))</f>
        <v>0</v>
      </c>
      <c r="J25" s="22">
        <f>Costos!J71/((1+$C$12)^(J20-$C$20))</f>
        <v>0</v>
      </c>
      <c r="K25" s="22">
        <f>Costos!K71/((1+$C$12)^(K20-$C$20))</f>
        <v>0</v>
      </c>
      <c r="L25" s="22">
        <f>Costos!L71/((1+$C$12)^(L20-$C$20))</f>
        <v>0</v>
      </c>
      <c r="M25" s="22">
        <f>Costos!M71/((1+$C$12)^(M20-$C$20))</f>
        <v>0</v>
      </c>
      <c r="N25" s="22">
        <f>Costos!N71/((1+$C$12)^(N20-$C$20))</f>
        <v>0</v>
      </c>
    </row>
    <row r="26" spans="1:14">
      <c r="B26" s="9" t="s">
        <v>14</v>
      </c>
      <c r="C26" s="9"/>
      <c r="D26" s="9"/>
      <c r="E26" s="9"/>
      <c r="F26" s="9"/>
      <c r="G26" s="9"/>
      <c r="H26" s="9"/>
      <c r="I26" s="9"/>
      <c r="J26" s="9"/>
      <c r="K26" s="9"/>
      <c r="L26" s="9"/>
      <c r="M26" s="9"/>
      <c r="N26" s="9"/>
    </row>
    <row r="27" spans="1:14">
      <c r="B27" s="97"/>
      <c r="C27" s="44"/>
      <c r="D27" s="44"/>
      <c r="E27" s="44"/>
      <c r="F27" s="44"/>
      <c r="G27" s="44"/>
      <c r="H27" s="44"/>
      <c r="I27" s="44"/>
      <c r="J27" s="44"/>
      <c r="K27" s="44"/>
      <c r="L27" s="44"/>
      <c r="M27" s="44"/>
      <c r="N27" s="44"/>
    </row>
    <row r="29" spans="1:14">
      <c r="B29" s="14" t="s">
        <v>15</v>
      </c>
      <c r="C29" s="9"/>
      <c r="D29" s="9"/>
      <c r="E29" s="9"/>
      <c r="F29" s="9"/>
      <c r="G29" s="9"/>
      <c r="H29" s="9"/>
      <c r="I29" s="9"/>
      <c r="J29" s="9"/>
      <c r="K29" s="9"/>
      <c r="L29" s="9"/>
      <c r="M29" s="9"/>
      <c r="N29" s="9"/>
    </row>
    <row r="32" spans="1:14">
      <c r="B32" s="57" t="s">
        <v>16</v>
      </c>
      <c r="C32" s="58">
        <v>2019</v>
      </c>
      <c r="D32" s="58">
        <v>2020</v>
      </c>
      <c r="E32" s="58">
        <v>2021</v>
      </c>
      <c r="F32" s="58">
        <v>2022</v>
      </c>
      <c r="G32" s="58">
        <v>2023</v>
      </c>
      <c r="H32" s="58">
        <v>2024</v>
      </c>
      <c r="I32" s="58">
        <v>2025</v>
      </c>
      <c r="J32" s="58">
        <v>2026</v>
      </c>
      <c r="K32" s="58">
        <v>2027</v>
      </c>
      <c r="L32" s="58">
        <v>2028</v>
      </c>
      <c r="M32" s="58">
        <v>2029</v>
      </c>
      <c r="N32" s="58">
        <v>2029</v>
      </c>
    </row>
    <row r="33" spans="2:14">
      <c r="B33" s="4" t="s">
        <v>10</v>
      </c>
      <c r="C33" s="55">
        <f>C21</f>
        <v>0</v>
      </c>
      <c r="D33" s="55">
        <f t="shared" ref="D33:N33" si="2">D21</f>
        <v>4790161816.1401196</v>
      </c>
      <c r="E33" s="55">
        <f t="shared" si="2"/>
        <v>9112997832.7606888</v>
      </c>
      <c r="F33" s="55">
        <f t="shared" si="2"/>
        <v>8668468069.2916031</v>
      </c>
      <c r="G33" s="55">
        <f>G21</f>
        <v>8245622356.9148483</v>
      </c>
      <c r="H33" s="55">
        <f t="shared" si="2"/>
        <v>7843402953.0214624</v>
      </c>
      <c r="I33" s="55">
        <f t="shared" si="2"/>
        <v>7460803711.4233637</v>
      </c>
      <c r="J33" s="55">
        <f t="shared" si="2"/>
        <v>7096867565.4928217</v>
      </c>
      <c r="K33" s="55">
        <f t="shared" si="2"/>
        <v>6750684134.07372</v>
      </c>
      <c r="L33" s="55">
        <f t="shared" si="2"/>
        <v>6421387444.1758804</v>
      </c>
      <c r="M33" s="55">
        <f t="shared" ref="M33" si="3">M21</f>
        <v>6108153764.7558012</v>
      </c>
      <c r="N33" s="55">
        <f t="shared" si="2"/>
        <v>5810199546.165019</v>
      </c>
    </row>
    <row r="34" spans="2:14">
      <c r="B34" s="4" t="s">
        <v>11</v>
      </c>
      <c r="C34" s="55">
        <f>C23</f>
        <v>236324212.25</v>
      </c>
      <c r="D34" s="55">
        <f t="shared" ref="D34:N34" si="4">D23</f>
        <v>10554285207.281553</v>
      </c>
      <c r="E34" s="55">
        <f t="shared" si="4"/>
        <v>16350454500.094261</v>
      </c>
      <c r="F34" s="55">
        <f t="shared" si="4"/>
        <v>11289300877.026011</v>
      </c>
      <c r="G34" s="55">
        <f t="shared" si="4"/>
        <v>5753205446.3882875</v>
      </c>
      <c r="H34" s="55">
        <f t="shared" si="4"/>
        <v>0</v>
      </c>
      <c r="I34" s="55">
        <f t="shared" si="4"/>
        <v>0</v>
      </c>
      <c r="J34" s="55">
        <f t="shared" si="4"/>
        <v>0</v>
      </c>
      <c r="K34" s="55">
        <f t="shared" si="4"/>
        <v>0</v>
      </c>
      <c r="L34" s="55">
        <f t="shared" si="4"/>
        <v>0</v>
      </c>
      <c r="M34" s="55">
        <f t="shared" ref="M34" si="5">M23</f>
        <v>0</v>
      </c>
      <c r="N34" s="55">
        <f t="shared" si="4"/>
        <v>0</v>
      </c>
    </row>
    <row r="35" spans="2:14">
      <c r="B35" s="63" t="s">
        <v>17</v>
      </c>
      <c r="C35" s="64">
        <f>C33-C34</f>
        <v>-236324212.25</v>
      </c>
      <c r="D35" s="64">
        <f t="shared" ref="D35:N35" si="6">D33-D34</f>
        <v>-5764123391.1414337</v>
      </c>
      <c r="E35" s="64">
        <f t="shared" si="6"/>
        <v>-7237456667.3335724</v>
      </c>
      <c r="F35" s="64">
        <f t="shared" si="6"/>
        <v>-2620832807.7344074</v>
      </c>
      <c r="G35" s="64">
        <f t="shared" si="6"/>
        <v>2492416910.5265608</v>
      </c>
      <c r="H35" s="64">
        <f t="shared" si="6"/>
        <v>7843402953.0214624</v>
      </c>
      <c r="I35" s="64">
        <f t="shared" si="6"/>
        <v>7460803711.4233637</v>
      </c>
      <c r="J35" s="64">
        <f t="shared" si="6"/>
        <v>7096867565.4928217</v>
      </c>
      <c r="K35" s="64">
        <f t="shared" si="6"/>
        <v>6750684134.07372</v>
      </c>
      <c r="L35" s="64">
        <f t="shared" si="6"/>
        <v>6421387444.1758804</v>
      </c>
      <c r="M35" s="64">
        <f t="shared" si="6"/>
        <v>6108153764.7558012</v>
      </c>
      <c r="N35" s="64">
        <f t="shared" si="6"/>
        <v>5810199546.165019</v>
      </c>
    </row>
    <row r="36" spans="2:14">
      <c r="B36" s="97"/>
    </row>
    <row r="38" spans="2:14">
      <c r="B38" s="14" t="s">
        <v>18</v>
      </c>
      <c r="C38" s="9"/>
      <c r="D38" s="9"/>
      <c r="E38" s="9"/>
      <c r="F38" s="9"/>
      <c r="G38" s="9"/>
      <c r="H38" s="9"/>
      <c r="I38" s="9"/>
      <c r="J38" s="9"/>
      <c r="K38" s="9"/>
      <c r="L38" s="9"/>
      <c r="M38" s="9"/>
      <c r="N38" s="9"/>
    </row>
    <row r="40" spans="2:14">
      <c r="B40" s="61" t="s">
        <v>19</v>
      </c>
      <c r="C40" s="62" t="s">
        <v>84</v>
      </c>
    </row>
    <row r="41" spans="2:14">
      <c r="B41" s="4" t="s">
        <v>10</v>
      </c>
      <c r="C41" s="56">
        <f>SUM(C33:N33)</f>
        <v>78308749194.215332</v>
      </c>
    </row>
    <row r="42" spans="2:14">
      <c r="B42" s="4" t="s">
        <v>11</v>
      </c>
      <c r="C42" s="56">
        <f>SUM(C34:N34)</f>
        <v>44183570243.040115</v>
      </c>
    </row>
    <row r="43" spans="2:14">
      <c r="B43" s="5" t="s">
        <v>88</v>
      </c>
      <c r="C43" s="94">
        <f>C8</f>
        <v>200.17499999999998</v>
      </c>
    </row>
    <row r="44" spans="2:14">
      <c r="B44" s="6" t="s">
        <v>17</v>
      </c>
      <c r="C44" s="59">
        <f>SUM(C35:N35)</f>
        <v>34125178951.175217</v>
      </c>
    </row>
    <row r="45" spans="2:14">
      <c r="B45" s="4" t="s">
        <v>20</v>
      </c>
      <c r="C45" s="111">
        <f>(C43/C10)-(C7/C10)</f>
        <v>1.1993055555555552</v>
      </c>
    </row>
    <row r="46" spans="2:14">
      <c r="B46" s="4" t="s">
        <v>74</v>
      </c>
      <c r="C46" s="111">
        <f>C41/C42</f>
        <v>1.7723499654614416</v>
      </c>
    </row>
    <row r="47" spans="2:14">
      <c r="B47" s="5" t="s">
        <v>21</v>
      </c>
      <c r="C47" s="60">
        <f>IRR(C35:N35)</f>
        <v>0.2350392339203593</v>
      </c>
    </row>
    <row r="50" spans="2:14">
      <c r="B50" s="14" t="s">
        <v>82</v>
      </c>
      <c r="C50" s="9"/>
      <c r="D50" s="9"/>
      <c r="E50" s="9"/>
      <c r="F50" s="9"/>
      <c r="G50" s="9"/>
      <c r="H50" s="9"/>
      <c r="I50" s="9"/>
      <c r="J50" s="9"/>
      <c r="K50" s="9"/>
      <c r="L50" s="9"/>
      <c r="M50" s="9"/>
      <c r="N50" s="9"/>
    </row>
    <row r="51" spans="2:14" ht="16.2" thickBot="1"/>
    <row r="52" spans="2:14">
      <c r="B52" s="65" t="s">
        <v>101</v>
      </c>
      <c r="C52" s="66">
        <f>C32</f>
        <v>2019</v>
      </c>
      <c r="D52" s="66">
        <f t="shared" ref="D52:L52" si="7">D32</f>
        <v>2020</v>
      </c>
      <c r="E52" s="66">
        <f t="shared" si="7"/>
        <v>2021</v>
      </c>
      <c r="F52" s="66">
        <f t="shared" si="7"/>
        <v>2022</v>
      </c>
      <c r="G52" s="66">
        <f t="shared" si="7"/>
        <v>2023</v>
      </c>
      <c r="H52" s="66">
        <f t="shared" si="7"/>
        <v>2024</v>
      </c>
      <c r="I52" s="66">
        <f t="shared" si="7"/>
        <v>2025</v>
      </c>
      <c r="J52" s="66">
        <f t="shared" si="7"/>
        <v>2026</v>
      </c>
      <c r="K52" s="66">
        <f t="shared" si="7"/>
        <v>2027</v>
      </c>
      <c r="L52" s="66">
        <f t="shared" si="7"/>
        <v>2028</v>
      </c>
      <c r="M52" s="67">
        <f t="shared" ref="M52" si="8">M32</f>
        <v>2029</v>
      </c>
      <c r="N52" s="67">
        <v>2030</v>
      </c>
    </row>
    <row r="53" spans="2:14">
      <c r="B53" s="7" t="s">
        <v>22</v>
      </c>
      <c r="C53" s="70">
        <f>Beneficios!C43</f>
        <v>0</v>
      </c>
      <c r="D53" s="70">
        <f>Beneficios!D43/(1+$C$6)^((D52-$C$52))</f>
        <v>3919223304.1146412</v>
      </c>
      <c r="E53" s="70">
        <f>Beneficios!E43/(1+$C$6)^((E52-$C$52))</f>
        <v>7456089135.8951092</v>
      </c>
      <c r="F53" s="70">
        <f>Beneficios!F43/(1+$C$6)^((F52-$C$52))</f>
        <v>7092382965.7840405</v>
      </c>
      <c r="G53" s="70">
        <f>Beneficios!G43/(1+$C$6)^((G52-$C$52))</f>
        <v>6746418292.0212402</v>
      </c>
      <c r="H53" s="70">
        <f>Beneficios!H43/(1+$C$6)^((H52-$C$52))</f>
        <v>6417329688.835741</v>
      </c>
      <c r="I53" s="70">
        <f>Beneficios!I43/(1+$C$6)^((I52-$C$52))</f>
        <v>6104293945.7100239</v>
      </c>
      <c r="J53" s="70">
        <f>Beneficios!J43/(1+$C$6)^((J52-$C$52))</f>
        <v>5806528008.1304932</v>
      </c>
      <c r="K53" s="70">
        <f>Beneficios!K43/(1+$C$6)^((K52-$C$52))</f>
        <v>5523287018.787591</v>
      </c>
      <c r="L53" s="70">
        <f>Beneficios!L43/(1+$C$6)^((L52-$C$52))</f>
        <v>5253862454.3257217</v>
      </c>
      <c r="M53" s="70">
        <f>Beneficios!M43/(1+$C$6)^((M52-$C$52))</f>
        <v>4997580352.9820185</v>
      </c>
      <c r="N53" s="71">
        <f>Beneficios!N43/(1+$C$6)^((N52-$C$52))</f>
        <v>4753799628.6804705</v>
      </c>
    </row>
    <row r="54" spans="2:14">
      <c r="B54" s="7" t="s">
        <v>23</v>
      </c>
      <c r="C54" s="70">
        <f>C34</f>
        <v>236324212.25</v>
      </c>
      <c r="D54" s="70">
        <f t="shared" ref="D54:N54" si="9">D34</f>
        <v>10554285207.281553</v>
      </c>
      <c r="E54" s="70">
        <f t="shared" si="9"/>
        <v>16350454500.094261</v>
      </c>
      <c r="F54" s="70">
        <f t="shared" si="9"/>
        <v>11289300877.026011</v>
      </c>
      <c r="G54" s="70">
        <f t="shared" si="9"/>
        <v>5753205446.3882875</v>
      </c>
      <c r="H54" s="70">
        <f t="shared" si="9"/>
        <v>0</v>
      </c>
      <c r="I54" s="70">
        <f t="shared" si="9"/>
        <v>0</v>
      </c>
      <c r="J54" s="70">
        <f t="shared" si="9"/>
        <v>0</v>
      </c>
      <c r="K54" s="70">
        <f t="shared" si="9"/>
        <v>0</v>
      </c>
      <c r="L54" s="70">
        <f t="shared" si="9"/>
        <v>0</v>
      </c>
      <c r="M54" s="70">
        <f t="shared" si="9"/>
        <v>0</v>
      </c>
      <c r="N54" s="71">
        <f t="shared" si="9"/>
        <v>0</v>
      </c>
    </row>
    <row r="55" spans="2:14" ht="16.2" thickBot="1">
      <c r="B55" s="8" t="s">
        <v>24</v>
      </c>
      <c r="C55" s="72">
        <f t="shared" ref="C55:N55" si="10">C53-C54</f>
        <v>-236324212.25</v>
      </c>
      <c r="D55" s="72">
        <f t="shared" si="10"/>
        <v>-6635061903.1669121</v>
      </c>
      <c r="E55" s="72">
        <f t="shared" si="10"/>
        <v>-8894365364.199152</v>
      </c>
      <c r="F55" s="72">
        <f t="shared" si="10"/>
        <v>-4196917911.2419701</v>
      </c>
      <c r="G55" s="72">
        <f t="shared" si="10"/>
        <v>993212845.63295269</v>
      </c>
      <c r="H55" s="72">
        <f t="shared" si="10"/>
        <v>6417329688.835741</v>
      </c>
      <c r="I55" s="72">
        <f t="shared" si="10"/>
        <v>6104293945.7100239</v>
      </c>
      <c r="J55" s="72">
        <f t="shared" si="10"/>
        <v>5806528008.1304932</v>
      </c>
      <c r="K55" s="72">
        <f t="shared" si="10"/>
        <v>5523287018.787591</v>
      </c>
      <c r="L55" s="72">
        <f t="shared" si="10"/>
        <v>5253862454.3257217</v>
      </c>
      <c r="M55" s="72">
        <f t="shared" ref="M55" si="11">M53-M54</f>
        <v>4997580352.9820185</v>
      </c>
      <c r="N55" s="73">
        <f t="shared" si="10"/>
        <v>4753799628.6804705</v>
      </c>
    </row>
    <row r="56" spans="2:14" ht="16.2" thickBot="1"/>
    <row r="57" spans="2:14">
      <c r="B57" s="65" t="s">
        <v>102</v>
      </c>
      <c r="C57" s="68">
        <f>C52</f>
        <v>2019</v>
      </c>
      <c r="D57" s="68">
        <f t="shared" ref="D57:N57" si="12">D52</f>
        <v>2020</v>
      </c>
      <c r="E57" s="68">
        <f t="shared" si="12"/>
        <v>2021</v>
      </c>
      <c r="F57" s="68">
        <f t="shared" si="12"/>
        <v>2022</v>
      </c>
      <c r="G57" s="68">
        <f t="shared" si="12"/>
        <v>2023</v>
      </c>
      <c r="H57" s="68">
        <f t="shared" si="12"/>
        <v>2024</v>
      </c>
      <c r="I57" s="68">
        <f t="shared" si="12"/>
        <v>2025</v>
      </c>
      <c r="J57" s="68">
        <f t="shared" si="12"/>
        <v>2026</v>
      </c>
      <c r="K57" s="68">
        <f t="shared" si="12"/>
        <v>2027</v>
      </c>
      <c r="L57" s="68">
        <f t="shared" si="12"/>
        <v>2028</v>
      </c>
      <c r="M57" s="69">
        <f t="shared" ref="M57" si="13">M52</f>
        <v>2029</v>
      </c>
      <c r="N57" s="69">
        <f t="shared" si="12"/>
        <v>2030</v>
      </c>
    </row>
    <row r="58" spans="2:14">
      <c r="B58" s="7" t="s">
        <v>22</v>
      </c>
      <c r="C58" s="70">
        <f>Beneficios!C44</f>
        <v>0</v>
      </c>
      <c r="D58" s="70">
        <f>Beneficios!D44/(1+$C$6)^((D57-$C$57))</f>
        <v>4354692560.1273804</v>
      </c>
      <c r="E58" s="70">
        <f>Beneficios!E44/(1+$C$6)^((E57-$C$57))</f>
        <v>8284543484.3278952</v>
      </c>
      <c r="F58" s="70">
        <f>Beneficios!F44/(1+$C$6)^((F57-$C$57))</f>
        <v>7880425517.5378218</v>
      </c>
      <c r="G58" s="70">
        <f>Beneficios!G44/(1+$C$6)^((G57-$C$57))</f>
        <v>7496020324.4680443</v>
      </c>
      <c r="H58" s="70">
        <f>Beneficios!H44/(1+$C$6)^((H57-$C$57))</f>
        <v>7130366320.9285994</v>
      </c>
      <c r="I58" s="70">
        <f>Beneficios!I44/(1+$C$6)^((I57-$C$57))</f>
        <v>6782548828.5666924</v>
      </c>
      <c r="J58" s="70">
        <f>Beneficios!J44/(1+$C$6)^((J57-$C$57))</f>
        <v>6451697786.8116541</v>
      </c>
      <c r="K58" s="70">
        <f>Beneficios!K44/(1+$C$6)^((K57-$C$57))</f>
        <v>6136985576.4306526</v>
      </c>
      <c r="L58" s="70">
        <f>Beneficios!L44/(1+$C$6)^((L57-$C$57))</f>
        <v>5837624949.2507954</v>
      </c>
      <c r="M58" s="70">
        <f>Beneficios!M44/(1+$C$6)^((M57-$C$57))</f>
        <v>5552867058.8689051</v>
      </c>
      <c r="N58" s="71">
        <f>Beneficios!N44/(1+$C$6)^((N57-$C$57))</f>
        <v>5281999587.4227428</v>
      </c>
    </row>
    <row r="59" spans="2:14">
      <c r="B59" s="7" t="s">
        <v>23</v>
      </c>
      <c r="C59" s="70">
        <f>C34</f>
        <v>236324212.25</v>
      </c>
      <c r="D59" s="70">
        <f t="shared" ref="D59:N59" si="14">D34</f>
        <v>10554285207.281553</v>
      </c>
      <c r="E59" s="70">
        <f t="shared" si="14"/>
        <v>16350454500.094261</v>
      </c>
      <c r="F59" s="70">
        <f t="shared" si="14"/>
        <v>11289300877.026011</v>
      </c>
      <c r="G59" s="70">
        <f t="shared" si="14"/>
        <v>5753205446.3882875</v>
      </c>
      <c r="H59" s="70">
        <f t="shared" si="14"/>
        <v>0</v>
      </c>
      <c r="I59" s="70">
        <f t="shared" si="14"/>
        <v>0</v>
      </c>
      <c r="J59" s="70">
        <f t="shared" si="14"/>
        <v>0</v>
      </c>
      <c r="K59" s="70">
        <f t="shared" si="14"/>
        <v>0</v>
      </c>
      <c r="L59" s="70">
        <f t="shared" si="14"/>
        <v>0</v>
      </c>
      <c r="M59" s="70">
        <f t="shared" si="14"/>
        <v>0</v>
      </c>
      <c r="N59" s="71">
        <f t="shared" si="14"/>
        <v>0</v>
      </c>
    </row>
    <row r="60" spans="2:14" ht="16.2" thickBot="1">
      <c r="B60" s="8" t="s">
        <v>24</v>
      </c>
      <c r="C60" s="72">
        <f t="shared" ref="C60:N60" si="15">C58-C59</f>
        <v>-236324212.25</v>
      </c>
      <c r="D60" s="72">
        <f t="shared" si="15"/>
        <v>-6199592647.1541729</v>
      </c>
      <c r="E60" s="72">
        <f t="shared" si="15"/>
        <v>-8065911015.766366</v>
      </c>
      <c r="F60" s="72">
        <f t="shared" si="15"/>
        <v>-3408875359.4881887</v>
      </c>
      <c r="G60" s="72">
        <f t="shared" si="15"/>
        <v>1742814878.0797567</v>
      </c>
      <c r="H60" s="72">
        <f t="shared" si="15"/>
        <v>7130366320.9285994</v>
      </c>
      <c r="I60" s="72">
        <f t="shared" si="15"/>
        <v>6782548828.5666924</v>
      </c>
      <c r="J60" s="72">
        <f t="shared" si="15"/>
        <v>6451697786.8116541</v>
      </c>
      <c r="K60" s="72">
        <f t="shared" si="15"/>
        <v>6136985576.4306526</v>
      </c>
      <c r="L60" s="72">
        <f t="shared" si="15"/>
        <v>5837624949.2507954</v>
      </c>
      <c r="M60" s="72">
        <f t="shared" ref="M60" si="16">M58-M59</f>
        <v>5552867058.8689051</v>
      </c>
      <c r="N60" s="73">
        <f t="shared" si="15"/>
        <v>5281999587.4227428</v>
      </c>
    </row>
    <row r="61" spans="2:14" ht="16.2" thickBot="1"/>
    <row r="62" spans="2:14">
      <c r="B62" s="65" t="s">
        <v>103</v>
      </c>
      <c r="C62" s="68">
        <f>C52</f>
        <v>2019</v>
      </c>
      <c r="D62" s="68">
        <f t="shared" ref="D62:N62" si="17">D52</f>
        <v>2020</v>
      </c>
      <c r="E62" s="68">
        <f t="shared" si="17"/>
        <v>2021</v>
      </c>
      <c r="F62" s="68">
        <f t="shared" si="17"/>
        <v>2022</v>
      </c>
      <c r="G62" s="68">
        <f t="shared" si="17"/>
        <v>2023</v>
      </c>
      <c r="H62" s="68">
        <f t="shared" si="17"/>
        <v>2024</v>
      </c>
      <c r="I62" s="68">
        <f t="shared" si="17"/>
        <v>2025</v>
      </c>
      <c r="J62" s="68">
        <f t="shared" si="17"/>
        <v>2026</v>
      </c>
      <c r="K62" s="68">
        <f t="shared" si="17"/>
        <v>2027</v>
      </c>
      <c r="L62" s="68">
        <f t="shared" si="17"/>
        <v>2028</v>
      </c>
      <c r="M62" s="69">
        <f t="shared" ref="M62" si="18">M52</f>
        <v>2029</v>
      </c>
      <c r="N62" s="69">
        <f t="shared" si="17"/>
        <v>2030</v>
      </c>
    </row>
    <row r="63" spans="2:14">
      <c r="B63" s="7" t="s">
        <v>22</v>
      </c>
      <c r="C63" s="70">
        <f>Beneficios!C45</f>
        <v>0</v>
      </c>
      <c r="D63" s="70">
        <f>Beneficios!D45/(1+$C$6)^((D62-$C$62))</f>
        <v>4790161816.1401196</v>
      </c>
      <c r="E63" s="70">
        <f>Beneficios!E45/(1+$C$6)^((E62-$C$62))</f>
        <v>9112997832.7606888</v>
      </c>
      <c r="F63" s="70">
        <f>Beneficios!F45/(1+$C$6)^((F62-$C$62))</f>
        <v>8668468069.2916031</v>
      </c>
      <c r="G63" s="70">
        <f>Beneficios!G45/(1+$C$6)^((G62-$C$62))</f>
        <v>8245622356.9148483</v>
      </c>
      <c r="H63" s="70">
        <f>Beneficios!H45/(1+$C$6)^((H62-$C$62))</f>
        <v>7843402953.0214624</v>
      </c>
      <c r="I63" s="70">
        <f>Beneficios!I45/(1+$C$6)^((I62-$C$62))</f>
        <v>7460803711.4233637</v>
      </c>
      <c r="J63" s="70">
        <f>Beneficios!J45/(1+$C$6)^((J62-$C$62))</f>
        <v>7096867565.4928217</v>
      </c>
      <c r="K63" s="70">
        <f>Beneficios!K45/(1+$C$6)^((K62-$C$62))</f>
        <v>6750684134.07372</v>
      </c>
      <c r="L63" s="70">
        <f>Beneficios!L45/(1+$C$6)^((L62-$C$62))</f>
        <v>6421387444.1758804</v>
      </c>
      <c r="M63" s="70">
        <f>Beneficios!M45/(1+$C$6)^((M62-$C$62))</f>
        <v>6108153764.7558012</v>
      </c>
      <c r="N63" s="71">
        <f>Beneficios!N45/(1+$C$6)^((N62-$C$62))</f>
        <v>5810199546.165019</v>
      </c>
    </row>
    <row r="64" spans="2:14">
      <c r="B64" s="7" t="s">
        <v>23</v>
      </c>
      <c r="C64" s="70">
        <f>C34</f>
        <v>236324212.25</v>
      </c>
      <c r="D64" s="70">
        <f t="shared" ref="D64:N64" si="19">D34</f>
        <v>10554285207.281553</v>
      </c>
      <c r="E64" s="70">
        <f t="shared" si="19"/>
        <v>16350454500.094261</v>
      </c>
      <c r="F64" s="70">
        <f t="shared" si="19"/>
        <v>11289300877.026011</v>
      </c>
      <c r="G64" s="70">
        <f t="shared" si="19"/>
        <v>5753205446.3882875</v>
      </c>
      <c r="H64" s="70">
        <f t="shared" si="19"/>
        <v>0</v>
      </c>
      <c r="I64" s="70">
        <f t="shared" si="19"/>
        <v>0</v>
      </c>
      <c r="J64" s="70">
        <f t="shared" si="19"/>
        <v>0</v>
      </c>
      <c r="K64" s="70">
        <f t="shared" si="19"/>
        <v>0</v>
      </c>
      <c r="L64" s="70">
        <f t="shared" si="19"/>
        <v>0</v>
      </c>
      <c r="M64" s="70">
        <f t="shared" si="19"/>
        <v>0</v>
      </c>
      <c r="N64" s="71">
        <f t="shared" si="19"/>
        <v>0</v>
      </c>
    </row>
    <row r="65" spans="2:14" ht="16.2" thickBot="1">
      <c r="B65" s="8" t="s">
        <v>24</v>
      </c>
      <c r="C65" s="72">
        <f t="shared" ref="C65:N65" si="20">C63-C64</f>
        <v>-236324212.25</v>
      </c>
      <c r="D65" s="72">
        <f t="shared" si="20"/>
        <v>-5764123391.1414337</v>
      </c>
      <c r="E65" s="72">
        <f t="shared" si="20"/>
        <v>-7237456667.3335724</v>
      </c>
      <c r="F65" s="72">
        <f t="shared" si="20"/>
        <v>-2620832807.7344074</v>
      </c>
      <c r="G65" s="72">
        <f t="shared" si="20"/>
        <v>2492416910.5265608</v>
      </c>
      <c r="H65" s="72">
        <f t="shared" si="20"/>
        <v>7843402953.0214624</v>
      </c>
      <c r="I65" s="72">
        <f t="shared" si="20"/>
        <v>7460803711.4233637</v>
      </c>
      <c r="J65" s="72">
        <f t="shared" si="20"/>
        <v>7096867565.4928217</v>
      </c>
      <c r="K65" s="72">
        <f t="shared" si="20"/>
        <v>6750684134.07372</v>
      </c>
      <c r="L65" s="72">
        <f t="shared" si="20"/>
        <v>6421387444.1758804</v>
      </c>
      <c r="M65" s="72">
        <f t="shared" ref="M65" si="21">M63-M64</f>
        <v>6108153764.7558012</v>
      </c>
      <c r="N65" s="73">
        <f t="shared" si="20"/>
        <v>5810199546.165019</v>
      </c>
    </row>
    <row r="67" spans="2:14" ht="16.2" thickBot="1">
      <c r="G67" s="148" t="s">
        <v>134</v>
      </c>
    </row>
    <row r="68" spans="2:14">
      <c r="B68" s="78" t="s">
        <v>19</v>
      </c>
      <c r="C68" s="99">
        <f>Beneficios!C13</f>
        <v>0.27500000000000002</v>
      </c>
      <c r="D68" s="99">
        <f>Beneficios!C12</f>
        <v>0.25</v>
      </c>
      <c r="E68" s="100">
        <f>Beneficios!C11</f>
        <v>0.22500000000000001</v>
      </c>
      <c r="G68" s="78" t="s">
        <v>19</v>
      </c>
      <c r="H68" s="99">
        <f>C68</f>
        <v>0.27500000000000002</v>
      </c>
      <c r="I68" s="99">
        <f t="shared" ref="I68:J68" si="22">D68</f>
        <v>0.25</v>
      </c>
      <c r="J68" s="99">
        <f t="shared" si="22"/>
        <v>0.22500000000000001</v>
      </c>
    </row>
    <row r="69" spans="2:14">
      <c r="B69" s="79" t="s">
        <v>25</v>
      </c>
      <c r="C69" s="74">
        <f>SUM(C63:N63)</f>
        <v>78308749194.215332</v>
      </c>
      <c r="D69" s="74">
        <f>SUM(C58:N58)</f>
        <v>71189771994.74118</v>
      </c>
      <c r="E69" s="101">
        <f>SUM(C53:N53)</f>
        <v>64070794795.26709</v>
      </c>
      <c r="G69" s="79" t="s">
        <v>130</v>
      </c>
      <c r="H69" s="74">
        <f>C69/$C$11</f>
        <v>24852030.845514227</v>
      </c>
      <c r="I69" s="74">
        <f t="shared" ref="I69:I70" si="23">D69/$C$11</f>
        <v>22592755.314103834</v>
      </c>
      <c r="J69" s="101">
        <f t="shared" ref="J69:J70" si="24">E69/$C$11</f>
        <v>20333479.782693461</v>
      </c>
    </row>
    <row r="70" spans="2:14">
      <c r="B70" s="80" t="s">
        <v>11</v>
      </c>
      <c r="C70" s="75">
        <f>SUM(C64:N64)</f>
        <v>44183570243.040115</v>
      </c>
      <c r="D70" s="75">
        <f>SUM(C59:N59)</f>
        <v>44183570243.040115</v>
      </c>
      <c r="E70" s="102">
        <f>SUM(C54:N54)</f>
        <v>44183570243.040115</v>
      </c>
      <c r="G70" s="80" t="s">
        <v>131</v>
      </c>
      <c r="H70" s="75">
        <f t="shared" ref="H70" si="25">C70/$C$11</f>
        <v>14022078.782304067</v>
      </c>
      <c r="I70" s="75">
        <f t="shared" si="23"/>
        <v>14022078.782304067</v>
      </c>
      <c r="J70" s="102">
        <f t="shared" si="24"/>
        <v>14022078.782304067</v>
      </c>
    </row>
    <row r="71" spans="2:14">
      <c r="B71" s="81" t="s">
        <v>26</v>
      </c>
      <c r="C71" s="76">
        <f>C69-C70</f>
        <v>34125178951.175217</v>
      </c>
      <c r="D71" s="76">
        <f>D69-D70</f>
        <v>27006201751.701065</v>
      </c>
      <c r="E71" s="103">
        <f>E69-E70</f>
        <v>19887224552.226974</v>
      </c>
      <c r="G71" s="81" t="s">
        <v>132</v>
      </c>
      <c r="H71" s="76">
        <f>H69-H70</f>
        <v>10829952.06321016</v>
      </c>
      <c r="I71" s="76">
        <f>I69-I70</f>
        <v>8570676.5317997672</v>
      </c>
      <c r="J71" s="103">
        <f>J69-J70</f>
        <v>6311401.0003893934</v>
      </c>
    </row>
    <row r="72" spans="2:14">
      <c r="B72" s="80" t="s">
        <v>27</v>
      </c>
      <c r="C72" s="123">
        <f>C69/C70</f>
        <v>1.7723499654614416</v>
      </c>
      <c r="D72" s="123">
        <f>D69/D70</f>
        <v>1.6112272413285826</v>
      </c>
      <c r="E72" s="124">
        <f>E69/E70</f>
        <v>1.450104517195725</v>
      </c>
      <c r="G72" s="80" t="s">
        <v>27</v>
      </c>
      <c r="H72" s="123">
        <f>H69/H70</f>
        <v>1.7723499654614416</v>
      </c>
      <c r="I72" s="123">
        <f>I69/I70</f>
        <v>1.6112272413285826</v>
      </c>
      <c r="J72" s="124">
        <f>J69/J70</f>
        <v>1.4501045171957252</v>
      </c>
    </row>
    <row r="73" spans="2:14">
      <c r="B73" s="80" t="s">
        <v>75</v>
      </c>
      <c r="C73" s="77">
        <f>C71/C10</f>
        <v>947921637.53264487</v>
      </c>
      <c r="D73" s="77">
        <f>D71/C10</f>
        <v>750172270.88058519</v>
      </c>
      <c r="E73" s="82">
        <f>E71/C10</f>
        <v>552422904.22852707</v>
      </c>
      <c r="G73" s="80" t="s">
        <v>133</v>
      </c>
      <c r="H73" s="77">
        <f>C73/$C$11</f>
        <v>300832.00175583776</v>
      </c>
      <c r="I73" s="77">
        <f t="shared" ref="I73:J73" si="26">D73/$C$11</f>
        <v>238074.34810554908</v>
      </c>
      <c r="J73" s="82">
        <f t="shared" si="26"/>
        <v>175316.69445526091</v>
      </c>
    </row>
    <row r="74" spans="2:14" ht="16.2" thickBot="1">
      <c r="B74" s="83" t="s">
        <v>21</v>
      </c>
      <c r="C74" s="84">
        <f>IRR(C65:N65)</f>
        <v>0.2350392339203593</v>
      </c>
      <c r="D74" s="84">
        <f>IRR(C60:N60)</f>
        <v>0.18102406295132312</v>
      </c>
      <c r="E74" s="85">
        <f>IRR(C55:N55)</f>
        <v>0.13062768399399882</v>
      </c>
      <c r="G74" s="83" t="s">
        <v>21</v>
      </c>
      <c r="H74" s="84">
        <f>C74</f>
        <v>0.2350392339203593</v>
      </c>
      <c r="I74" s="84">
        <f t="shared" ref="I74:J74" si="27">D74</f>
        <v>0.18102406295132312</v>
      </c>
      <c r="J74" s="85">
        <f t="shared" si="27"/>
        <v>0.13062768399399882</v>
      </c>
    </row>
    <row r="101" spans="1:1">
      <c r="A101" t="s">
        <v>7</v>
      </c>
    </row>
    <row r="102" spans="1:1">
      <c r="A102" s="2">
        <v>0.12</v>
      </c>
    </row>
    <row r="103" spans="1:1">
      <c r="A103" s="2">
        <v>0.1</v>
      </c>
    </row>
    <row r="104" spans="1:1">
      <c r="A104" s="2">
        <v>0.08</v>
      </c>
    </row>
  </sheetData>
  <mergeCells count="1">
    <mergeCell ref="B3:D3"/>
  </mergeCells>
  <conditionalFormatting sqref="B57:L57 B62:L62 C52:L52 B54:L55 B59:L60 D63:L64 B64:L65 N52 N62:N65 N57:N60 N54:N55 C54:N54 C59:N59 C64:N64 D53:N53 D58:N58 D63:N63">
    <cfRule type="cellIs" dxfId="16" priority="18" operator="lessThan">
      <formula>0</formula>
    </cfRule>
  </conditionalFormatting>
  <conditionalFormatting sqref="B52:B53">
    <cfRule type="cellIs" dxfId="15" priority="17" operator="lessThan">
      <formula>0</formula>
    </cfRule>
  </conditionalFormatting>
  <conditionalFormatting sqref="C35:L35">
    <cfRule type="cellIs" dxfId="14" priority="22" operator="lessThan">
      <formula>0</formula>
    </cfRule>
  </conditionalFormatting>
  <conditionalFormatting sqref="B63">
    <cfRule type="cellIs" dxfId="13" priority="15" operator="lessThan">
      <formula>0</formula>
    </cfRule>
  </conditionalFormatting>
  <conditionalFormatting sqref="C53:N53">
    <cfRule type="cellIs" dxfId="12" priority="14" operator="lessThan">
      <formula>0</formula>
    </cfRule>
  </conditionalFormatting>
  <conditionalFormatting sqref="C69:E73">
    <cfRule type="cellIs" dxfId="11" priority="13" operator="lessThan">
      <formula>0</formula>
    </cfRule>
  </conditionalFormatting>
  <conditionalFormatting sqref="B58">
    <cfRule type="cellIs" dxfId="10" priority="16" operator="lessThan">
      <formula>0</formula>
    </cfRule>
  </conditionalFormatting>
  <conditionalFormatting sqref="M52 M62:M64 M57:M59 M54">
    <cfRule type="cellIs" dxfId="9" priority="11" operator="lessThan">
      <formula>0</formula>
    </cfRule>
  </conditionalFormatting>
  <conditionalFormatting sqref="M65">
    <cfRule type="cellIs" dxfId="8" priority="5" operator="lessThan">
      <formula>0</formula>
    </cfRule>
  </conditionalFormatting>
  <conditionalFormatting sqref="N35">
    <cfRule type="cellIs" dxfId="7" priority="10" operator="lessThan">
      <formula>0</formula>
    </cfRule>
  </conditionalFormatting>
  <conditionalFormatting sqref="M35">
    <cfRule type="cellIs" dxfId="6" priority="9" operator="lessThan">
      <formula>0</formula>
    </cfRule>
  </conditionalFormatting>
  <conditionalFormatting sqref="F53:N53">
    <cfRule type="cellIs" dxfId="5" priority="8" operator="lessThan">
      <formula>0</formula>
    </cfRule>
  </conditionalFormatting>
  <conditionalFormatting sqref="M55">
    <cfRule type="cellIs" dxfId="4" priority="7" operator="lessThan">
      <formula>0</formula>
    </cfRule>
  </conditionalFormatting>
  <conditionalFormatting sqref="M60">
    <cfRule type="cellIs" dxfId="3" priority="6" operator="lessThan">
      <formula>0</formula>
    </cfRule>
  </conditionalFormatting>
  <conditionalFormatting sqref="C58:N58">
    <cfRule type="cellIs" dxfId="2" priority="4" operator="lessThan">
      <formula>0</formula>
    </cfRule>
  </conditionalFormatting>
  <conditionalFormatting sqref="C63:N63">
    <cfRule type="cellIs" dxfId="1" priority="3" operator="lessThan">
      <formula>0</formula>
    </cfRule>
  </conditionalFormatting>
  <conditionalFormatting sqref="H69:J73">
    <cfRule type="cellIs" dxfId="0" priority="1" operator="lessThan">
      <formula>0</formula>
    </cfRule>
  </conditionalFormatting>
  <dataValidations count="2">
    <dataValidation type="list" allowBlank="1" showInputMessage="1" showErrorMessage="1" sqref="C6" xr:uid="{00000000-0002-0000-0100-000000000000}">
      <formula1>$A$102:$A$121</formula1>
    </dataValidation>
    <dataValidation type="list" allowBlank="1" showInputMessage="1" showErrorMessage="1" sqref="C18" xr:uid="{00000000-0002-0000-0100-000001000000}">
      <formula1>$A$19:$A$21</formula1>
    </dataValidation>
  </dataValidation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57"/>
  <sheetViews>
    <sheetView showGridLines="0" workbookViewId="0">
      <selection activeCell="B3" sqref="B3:D3"/>
    </sheetView>
  </sheetViews>
  <sheetFormatPr defaultColWidth="11.19921875" defaultRowHeight="15.6"/>
  <cols>
    <col min="2" max="2" width="56.796875" customWidth="1"/>
    <col min="3" max="3" width="23.19921875" bestFit="1" customWidth="1"/>
    <col min="4" max="7" width="18.796875" bestFit="1" customWidth="1"/>
    <col min="8" max="8" width="21" bestFit="1" customWidth="1"/>
    <col min="9" max="14" width="18.796875" bestFit="1" customWidth="1"/>
  </cols>
  <sheetData>
    <row r="2" spans="2:14" ht="23.4">
      <c r="B2" s="1" t="s">
        <v>10</v>
      </c>
    </row>
    <row r="3" spans="2:14" ht="18">
      <c r="B3" s="181" t="str">
        <f>CBA!B3</f>
        <v>CO-L1251. Programa de Fortalecimiento de la Agencia Nacional de Defensa Jurídica del Estado de Colombia</v>
      </c>
      <c r="C3" s="181"/>
      <c r="D3" s="181"/>
      <c r="E3" s="9"/>
      <c r="F3" s="9"/>
      <c r="G3" s="9"/>
      <c r="H3" s="9"/>
      <c r="I3" s="9"/>
      <c r="J3" s="9"/>
      <c r="K3" s="9"/>
      <c r="L3" s="9"/>
      <c r="M3" s="9"/>
      <c r="N3" s="9"/>
    </row>
    <row r="5" spans="2:14">
      <c r="B5" s="14" t="s">
        <v>1</v>
      </c>
      <c r="C5" s="9"/>
      <c r="D5" s="9"/>
      <c r="E5" s="9"/>
      <c r="F5" s="9"/>
      <c r="G5" s="9"/>
      <c r="H5" s="9"/>
      <c r="I5" s="9"/>
      <c r="J5" s="9"/>
      <c r="K5" s="9"/>
      <c r="L5" s="9"/>
      <c r="M5" s="9"/>
      <c r="N5" s="9"/>
    </row>
    <row r="6" spans="2:14">
      <c r="B6" t="s">
        <v>28</v>
      </c>
      <c r="C6" s="168">
        <f>CBA!C11</f>
        <v>3151</v>
      </c>
      <c r="D6" t="str">
        <f>CBA!D11</f>
        <v>Supuestos macroeconómicos 2020 Ministerio de Hacienda y Crédito Público</v>
      </c>
    </row>
    <row r="7" spans="2:14">
      <c r="B7" t="s">
        <v>100</v>
      </c>
      <c r="C7" s="169">
        <f>'Tablero de Control'!C13</f>
        <v>6.5366679086047055E-2</v>
      </c>
      <c r="D7" t="s">
        <v>92</v>
      </c>
      <c r="H7" s="114"/>
    </row>
    <row r="8" spans="2:14">
      <c r="B8" t="s">
        <v>2</v>
      </c>
      <c r="C8" s="170">
        <f>CBA!C6</f>
        <v>0.12</v>
      </c>
      <c r="D8" t="s">
        <v>78</v>
      </c>
    </row>
    <row r="9" spans="2:14">
      <c r="B9" t="s">
        <v>30</v>
      </c>
      <c r="C9" s="171">
        <f>CBA!C7/CBA!C10</f>
        <v>4.3611111111111107</v>
      </c>
      <c r="D9" t="str">
        <f>D14</f>
        <v>Agencia Nacional de Defensa Jurídica del Estado de la República de Colombia</v>
      </c>
    </row>
    <row r="10" spans="2:14">
      <c r="B10" t="s">
        <v>31</v>
      </c>
      <c r="C10" s="172"/>
      <c r="D10" t="str">
        <f>CBA!D8</f>
        <v>Chemin (2009)</v>
      </c>
    </row>
    <row r="11" spans="2:14">
      <c r="B11" s="10" t="s">
        <v>33</v>
      </c>
      <c r="C11" s="173">
        <f>'Tablero de Control'!C15</f>
        <v>0.22500000000000001</v>
      </c>
      <c r="D11" s="2" t="b">
        <f>IF(C11=CBA!$C$18,"")</f>
        <v>0</v>
      </c>
    </row>
    <row r="12" spans="2:14">
      <c r="B12" s="10" t="s">
        <v>34</v>
      </c>
      <c r="C12" s="173">
        <f>'Tablero de Control'!C16</f>
        <v>0.25</v>
      </c>
      <c r="D12" s="2" t="b">
        <f>IF(C12=CBA!$C$18,"")</f>
        <v>0</v>
      </c>
    </row>
    <row r="13" spans="2:14">
      <c r="B13" s="10" t="s">
        <v>35</v>
      </c>
      <c r="C13" s="173">
        <f>'Tablero de Control'!C17</f>
        <v>0.27500000000000002</v>
      </c>
      <c r="D13" s="2" t="b">
        <f>IF(C13=CBA!$C$18,"")</f>
        <v>0</v>
      </c>
    </row>
    <row r="14" spans="2:14">
      <c r="B14" t="s">
        <v>71</v>
      </c>
      <c r="C14" s="174">
        <f>CBA!C10</f>
        <v>36</v>
      </c>
      <c r="D14" t="str">
        <f>CBA!D10</f>
        <v>Agencia Nacional de Defensa Jurídica del Estado de la República de Colombia</v>
      </c>
    </row>
    <row r="15" spans="2:14">
      <c r="B15" t="s">
        <v>127</v>
      </c>
      <c r="C15" s="165">
        <f>'Tablero de Control'!C19</f>
        <v>500</v>
      </c>
      <c r="D15" t="str">
        <f>D19</f>
        <v>Agencia Nacional de Defensa Jurídica del Estado de la República de Colombia</v>
      </c>
    </row>
    <row r="16" spans="2:14">
      <c r="B16" t="s">
        <v>106</v>
      </c>
      <c r="C16" s="175">
        <f>'Tablero de Control'!C20</f>
        <v>27</v>
      </c>
      <c r="D16" t="str">
        <f>D15</f>
        <v>Agencia Nacional de Defensa Jurídica del Estado de la República de Colombia</v>
      </c>
    </row>
    <row r="17" spans="2:14">
      <c r="B17" t="s">
        <v>129</v>
      </c>
      <c r="C17" s="176">
        <f>C16/C15</f>
        <v>5.3999999999999999E-2</v>
      </c>
      <c r="D17" t="str">
        <f t="shared" ref="D17:D18" si="0">D16</f>
        <v>Agencia Nacional de Defensa Jurídica del Estado de la República de Colombia</v>
      </c>
    </row>
    <row r="18" spans="2:14">
      <c r="B18" t="s">
        <v>128</v>
      </c>
      <c r="C18" s="176">
        <f>F30/C15</f>
        <v>0.39249999999999996</v>
      </c>
      <c r="D18" t="str">
        <f t="shared" si="0"/>
        <v>Agencia Nacional de Defensa Jurídica del Estado de la República de Colombia</v>
      </c>
    </row>
    <row r="19" spans="2:14">
      <c r="B19" s="127" t="s">
        <v>73</v>
      </c>
      <c r="C19" s="127"/>
      <c r="D19" s="127" t="str">
        <f>D14</f>
        <v>Agencia Nacional de Defensa Jurídica del Estado de la República de Colombia</v>
      </c>
      <c r="E19" s="127"/>
      <c r="F19" s="127"/>
      <c r="G19" s="127"/>
      <c r="H19" s="127"/>
      <c r="I19" s="127"/>
      <c r="J19" s="127"/>
      <c r="K19" s="127"/>
      <c r="L19" s="127"/>
      <c r="M19" s="127"/>
      <c r="N19" s="127"/>
    </row>
    <row r="20" spans="2:14">
      <c r="B20" s="33" t="s">
        <v>124</v>
      </c>
      <c r="C20" s="177">
        <f>(C22*C9)</f>
        <v>1017334795.6335665</v>
      </c>
    </row>
    <row r="21" spans="2:14">
      <c r="C21" s="23">
        <v>2019</v>
      </c>
      <c r="D21" s="23">
        <v>2020</v>
      </c>
      <c r="E21" s="23">
        <v>2021</v>
      </c>
      <c r="F21" s="23">
        <v>2022</v>
      </c>
      <c r="G21" s="23">
        <v>2023</v>
      </c>
      <c r="H21" s="23">
        <v>2024</v>
      </c>
      <c r="I21" s="23">
        <v>2025</v>
      </c>
      <c r="J21" s="23">
        <v>2026</v>
      </c>
      <c r="K21" s="23">
        <v>2027</v>
      </c>
      <c r="L21" s="23">
        <v>2028</v>
      </c>
      <c r="M21" s="23">
        <v>2029</v>
      </c>
      <c r="N21" s="23">
        <v>2030</v>
      </c>
    </row>
    <row r="22" spans="2:14">
      <c r="B22" t="s">
        <v>107</v>
      </c>
      <c r="C22" s="22">
        <f>C23/($C$9*$C$14)</f>
        <v>233274220.65483055</v>
      </c>
      <c r="D22" s="22">
        <f t="shared" ref="D22:K22" si="1">D23/($C$9*$C$14)</f>
        <v>248522581.77542254</v>
      </c>
      <c r="E22" s="22">
        <f t="shared" si="1"/>
        <v>264767677.62397248</v>
      </c>
      <c r="F22" s="22">
        <f t="shared" si="1"/>
        <v>282074661.43957663</v>
      </c>
      <c r="G22" s="22">
        <f t="shared" si="1"/>
        <v>300512945.31220275</v>
      </c>
      <c r="H22" s="22">
        <f t="shared" si="1"/>
        <v>320156478.5696283</v>
      </c>
      <c r="I22" s="22">
        <f t="shared" si="1"/>
        <v>341084044.36160803</v>
      </c>
      <c r="J22" s="22">
        <f t="shared" si="1"/>
        <v>363379575.63076425</v>
      </c>
      <c r="K22" s="22">
        <f t="shared" si="1"/>
        <v>387132491.7374444</v>
      </c>
      <c r="L22" s="22">
        <f>L23/($C$9*$C$14)</f>
        <v>412438057.08862764</v>
      </c>
      <c r="M22" s="22">
        <f t="shared" ref="M22:N22" si="2">M23/($C$9*$C$14)</f>
        <v>439397763.20921266</v>
      </c>
      <c r="N22" s="22">
        <f t="shared" si="2"/>
        <v>468119735.78803617</v>
      </c>
    </row>
    <row r="23" spans="2:14">
      <c r="B23" t="s">
        <v>123</v>
      </c>
      <c r="C23" s="166">
        <f>'Tablero de Control'!C21</f>
        <v>36624052642.808395</v>
      </c>
      <c r="D23" s="22">
        <f>C23*(1+C7)</f>
        <v>39018045338.741341</v>
      </c>
      <c r="E23" s="22">
        <f t="shared" ref="E23:N23" si="3">D23*(1+$C$7)</f>
        <v>41568525386.963676</v>
      </c>
      <c r="F23" s="22">
        <f t="shared" si="3"/>
        <v>44285721846.013527</v>
      </c>
      <c r="G23" s="22">
        <f t="shared" si="3"/>
        <v>47180532414.015831</v>
      </c>
      <c r="H23" s="22">
        <f t="shared" si="3"/>
        <v>50264567135.431641</v>
      </c>
      <c r="I23" s="22">
        <f t="shared" si="3"/>
        <v>53550194964.772461</v>
      </c>
      <c r="J23" s="22">
        <f t="shared" si="3"/>
        <v>57050593374.029991</v>
      </c>
      <c r="K23" s="22">
        <f t="shared" si="3"/>
        <v>60779801202.77877</v>
      </c>
      <c r="L23" s="22">
        <f t="shared" si="3"/>
        <v>64752774962.914543</v>
      </c>
      <c r="M23" s="22">
        <f t="shared" si="3"/>
        <v>68985448823.84639</v>
      </c>
      <c r="N23" s="22">
        <f t="shared" si="3"/>
        <v>73494798518.72168</v>
      </c>
    </row>
    <row r="25" spans="2:14">
      <c r="D25" s="122"/>
    </row>
    <row r="26" spans="2:14">
      <c r="B26" s="14" t="s">
        <v>32</v>
      </c>
      <c r="C26" s="9"/>
      <c r="D26" s="9"/>
      <c r="E26" s="9"/>
      <c r="F26" s="9"/>
      <c r="G26" s="9"/>
      <c r="H26" s="9"/>
      <c r="I26" s="9"/>
      <c r="J26" s="9"/>
      <c r="K26" s="9"/>
      <c r="L26" s="9"/>
      <c r="M26" s="9"/>
      <c r="N26" s="9"/>
    </row>
    <row r="28" spans="2:14" s="12" customFormat="1" ht="31.2">
      <c r="B28" s="48" t="s">
        <v>10</v>
      </c>
      <c r="C28" s="48" t="s">
        <v>125</v>
      </c>
      <c r="D28" s="48" t="s">
        <v>72</v>
      </c>
      <c r="E28" s="48"/>
      <c r="F28" s="48" t="s">
        <v>126</v>
      </c>
    </row>
    <row r="29" spans="2:14">
      <c r="B29" t="s">
        <v>36</v>
      </c>
      <c r="C29" s="45">
        <f>$C$14</f>
        <v>36</v>
      </c>
      <c r="D29" s="87">
        <f>$C$9*(1+C11)</f>
        <v>5.3423611111111109</v>
      </c>
      <c r="F29" s="88">
        <f>D29*$C$14</f>
        <v>192.32499999999999</v>
      </c>
    </row>
    <row r="30" spans="2:14">
      <c r="B30" t="s">
        <v>37</v>
      </c>
      <c r="C30" s="45">
        <f t="shared" ref="C30:C31" si="4">$C$14</f>
        <v>36</v>
      </c>
      <c r="D30" s="87">
        <f>$C$9*(1+C12)</f>
        <v>5.4513888888888884</v>
      </c>
      <c r="F30" s="88">
        <f t="shared" ref="F30:F31" si="5">D30*$C$14</f>
        <v>196.24999999999997</v>
      </c>
    </row>
    <row r="31" spans="2:14">
      <c r="B31" s="9" t="s">
        <v>38</v>
      </c>
      <c r="C31" s="46">
        <f t="shared" si="4"/>
        <v>36</v>
      </c>
      <c r="D31" s="110">
        <f>$C$9*(1+C13)</f>
        <v>5.5604166666666659</v>
      </c>
      <c r="E31" s="9"/>
      <c r="F31" s="89">
        <f t="shared" si="5"/>
        <v>200.17499999999998</v>
      </c>
      <c r="G31" s="47"/>
      <c r="H31" s="47"/>
      <c r="I31" s="47"/>
      <c r="J31" s="47"/>
      <c r="K31" s="47"/>
      <c r="L31" s="47"/>
      <c r="M31" s="47"/>
      <c r="N31" s="47"/>
    </row>
    <row r="34" spans="2:14">
      <c r="B34" s="23" t="s">
        <v>9</v>
      </c>
      <c r="C34" s="23">
        <v>2019</v>
      </c>
      <c r="D34" s="23">
        <v>2020</v>
      </c>
      <c r="E34" s="23">
        <v>2021</v>
      </c>
      <c r="F34" s="23">
        <v>2022</v>
      </c>
      <c r="G34" s="23">
        <v>2023</v>
      </c>
      <c r="H34" s="23">
        <v>2024</v>
      </c>
      <c r="I34" s="23">
        <v>2025</v>
      </c>
      <c r="J34" s="23">
        <v>2026</v>
      </c>
      <c r="K34" s="23">
        <v>2027</v>
      </c>
      <c r="L34" s="23">
        <v>2028</v>
      </c>
      <c r="M34" s="23">
        <v>2029</v>
      </c>
      <c r="N34" s="23">
        <v>2030</v>
      </c>
    </row>
    <row r="35" spans="2:14">
      <c r="B35" t="s">
        <v>36</v>
      </c>
      <c r="C35" s="90">
        <f>($C$9*$C$29)</f>
        <v>157</v>
      </c>
      <c r="D35" s="90">
        <f>C35*(1+C11/2)</f>
        <v>174.66249999999999</v>
      </c>
      <c r="E35" s="91">
        <f>F29</f>
        <v>192.32499999999999</v>
      </c>
      <c r="F35" s="95">
        <f>E35</f>
        <v>192.32499999999999</v>
      </c>
      <c r="G35" s="90">
        <f>F35</f>
        <v>192.32499999999999</v>
      </c>
      <c r="H35" s="90">
        <f>G35</f>
        <v>192.32499999999999</v>
      </c>
      <c r="I35" s="90">
        <f t="shared" ref="I35:L35" si="6">H35</f>
        <v>192.32499999999999</v>
      </c>
      <c r="J35" s="90">
        <f t="shared" si="6"/>
        <v>192.32499999999999</v>
      </c>
      <c r="K35" s="90">
        <f t="shared" si="6"/>
        <v>192.32499999999999</v>
      </c>
      <c r="L35" s="90">
        <f t="shared" si="6"/>
        <v>192.32499999999999</v>
      </c>
      <c r="M35" s="90">
        <f t="shared" ref="M35:N37" si="7">K35</f>
        <v>192.32499999999999</v>
      </c>
      <c r="N35" s="90">
        <f t="shared" si="7"/>
        <v>192.32499999999999</v>
      </c>
    </row>
    <row r="36" spans="2:14">
      <c r="B36" t="s">
        <v>37</v>
      </c>
      <c r="C36" s="90">
        <f>($C$9)*$C$30</f>
        <v>157</v>
      </c>
      <c r="D36" s="90">
        <f t="shared" ref="D36:D37" si="8">C36*(1+C12/2)</f>
        <v>176.625</v>
      </c>
      <c r="E36" s="91">
        <f>F30</f>
        <v>196.24999999999997</v>
      </c>
      <c r="F36" s="95">
        <f>E36</f>
        <v>196.24999999999997</v>
      </c>
      <c r="G36" s="90">
        <f>F36</f>
        <v>196.24999999999997</v>
      </c>
      <c r="H36" s="90">
        <f t="shared" ref="H36:L36" si="9">G36</f>
        <v>196.24999999999997</v>
      </c>
      <c r="I36" s="90">
        <f t="shared" si="9"/>
        <v>196.24999999999997</v>
      </c>
      <c r="J36" s="90">
        <f t="shared" si="9"/>
        <v>196.24999999999997</v>
      </c>
      <c r="K36" s="90">
        <f t="shared" si="9"/>
        <v>196.24999999999997</v>
      </c>
      <c r="L36" s="90">
        <f t="shared" si="9"/>
        <v>196.24999999999997</v>
      </c>
      <c r="M36" s="90">
        <f t="shared" si="7"/>
        <v>196.24999999999997</v>
      </c>
      <c r="N36" s="90">
        <f t="shared" si="7"/>
        <v>196.24999999999997</v>
      </c>
    </row>
    <row r="37" spans="2:14">
      <c r="B37" s="9" t="s">
        <v>38</v>
      </c>
      <c r="C37" s="92">
        <f>($C$9*$C$31)</f>
        <v>157</v>
      </c>
      <c r="D37" s="92">
        <f t="shared" si="8"/>
        <v>178.58750000000001</v>
      </c>
      <c r="E37" s="93">
        <f>F31</f>
        <v>200.17499999999998</v>
      </c>
      <c r="F37" s="96">
        <f>E37</f>
        <v>200.17499999999998</v>
      </c>
      <c r="G37" s="92">
        <f>F37</f>
        <v>200.17499999999998</v>
      </c>
      <c r="H37" s="92">
        <f t="shared" ref="H37:L37" si="10">G37</f>
        <v>200.17499999999998</v>
      </c>
      <c r="I37" s="92">
        <f t="shared" si="10"/>
        <v>200.17499999999998</v>
      </c>
      <c r="J37" s="92">
        <f t="shared" si="10"/>
        <v>200.17499999999998</v>
      </c>
      <c r="K37" s="92">
        <f t="shared" si="10"/>
        <v>200.17499999999998</v>
      </c>
      <c r="L37" s="92">
        <f t="shared" si="10"/>
        <v>200.17499999999998</v>
      </c>
      <c r="M37" s="92">
        <f t="shared" si="7"/>
        <v>200.17499999999998</v>
      </c>
      <c r="N37" s="92">
        <f t="shared" si="7"/>
        <v>200.17499999999998</v>
      </c>
    </row>
    <row r="40" spans="2:14">
      <c r="B40" s="13" t="s">
        <v>39</v>
      </c>
      <c r="C40" s="9"/>
      <c r="D40" s="9"/>
      <c r="E40" s="9"/>
      <c r="F40" s="9"/>
      <c r="G40" s="9"/>
      <c r="H40" s="9"/>
      <c r="I40" s="9"/>
      <c r="J40" s="9"/>
      <c r="K40" s="9"/>
      <c r="L40" s="9"/>
      <c r="M40" s="9"/>
      <c r="N40" s="9"/>
    </row>
    <row r="42" spans="2:14">
      <c r="B42" s="23" t="s">
        <v>9</v>
      </c>
      <c r="C42" s="23">
        <v>2019</v>
      </c>
      <c r="D42" s="23">
        <v>2020</v>
      </c>
      <c r="E42" s="23">
        <v>2021</v>
      </c>
      <c r="F42" s="23">
        <v>2022</v>
      </c>
      <c r="G42" s="23">
        <v>2023</v>
      </c>
      <c r="H42" s="23">
        <v>2024</v>
      </c>
      <c r="I42" s="23">
        <v>2025</v>
      </c>
      <c r="J42" s="23">
        <v>2026</v>
      </c>
      <c r="K42" s="23">
        <v>2027</v>
      </c>
      <c r="L42" s="23">
        <v>2028</v>
      </c>
      <c r="M42" s="23">
        <v>2029</v>
      </c>
      <c r="N42" s="23">
        <v>2030</v>
      </c>
    </row>
    <row r="43" spans="2:14">
      <c r="B43" t="s">
        <v>36</v>
      </c>
      <c r="C43" s="49">
        <f>(C35*$C$22)-$C$23</f>
        <v>0</v>
      </c>
      <c r="D43" s="49">
        <f>(D35*$D$22)-$D$23</f>
        <v>4389530100.6083984</v>
      </c>
      <c r="E43" s="49">
        <f>(E35*$E$22)-$E$23</f>
        <v>9352918212.0668259</v>
      </c>
      <c r="F43" s="49">
        <f>(F35*$F$22)-$F$23</f>
        <v>9964287415.3530426</v>
      </c>
      <c r="G43" s="49">
        <f>(G35*$G$22)-$G$23</f>
        <v>10615619793.153557</v>
      </c>
      <c r="H43" s="49">
        <f>(H35*$H$22)-$H$23</f>
        <v>11309527605.472115</v>
      </c>
      <c r="I43" s="49">
        <f>(I35*$I$22)-$I$23</f>
        <v>12048793867.073799</v>
      </c>
      <c r="J43" s="49">
        <f>(J35*$J$22)-$J$23</f>
        <v>12836383509.156746</v>
      </c>
      <c r="K43" s="49">
        <f>(K35*$K$22)-$K$23</f>
        <v>13675455270.625221</v>
      </c>
      <c r="L43" s="49">
        <f>(L35*$L$22)-$L$23</f>
        <v>14569374366.655769</v>
      </c>
      <c r="M43" s="49">
        <f>(M35*$M$22)-$M$23</f>
        <v>15521725985.365433</v>
      </c>
      <c r="N43" s="49">
        <f>(N35*$N$22)-$N$23</f>
        <v>16536329666.712372</v>
      </c>
    </row>
    <row r="44" spans="2:14">
      <c r="B44" t="s">
        <v>37</v>
      </c>
      <c r="C44" s="49">
        <f>(C36*$C$22)-$C$23</f>
        <v>0</v>
      </c>
      <c r="D44" s="49">
        <f t="shared" ref="D44" si="11">(D36*$D$22)-$D$23</f>
        <v>4877255667.3426666</v>
      </c>
      <c r="E44" s="49">
        <f t="shared" ref="E44:E45" si="12">(E36*$E$22)-$E$23</f>
        <v>10392131346.740913</v>
      </c>
      <c r="F44" s="49">
        <f t="shared" ref="F44:F45" si="13">(F36*$F$22)-$F$23</f>
        <v>11071430461.50338</v>
      </c>
      <c r="G44" s="49">
        <f t="shared" ref="G44:G45" si="14">(G36*$G$22)-$G$23</f>
        <v>11795133103.503952</v>
      </c>
      <c r="H44" s="49">
        <f t="shared" ref="H44:H45" si="15">(H36*$H$22)-$H$23</f>
        <v>12566141783.857903</v>
      </c>
      <c r="I44" s="49">
        <f t="shared" ref="I44:I45" si="16">(I36*$I$22)-$I$23</f>
        <v>13387548741.193108</v>
      </c>
      <c r="J44" s="49">
        <f t="shared" ref="J44:J45" si="17">(J36*$J$22)-$J$23</f>
        <v>14262648343.507484</v>
      </c>
      <c r="K44" s="49">
        <f t="shared" ref="K44:K45" si="18">(K36*$K$22)-$K$23</f>
        <v>15194950300.694679</v>
      </c>
      <c r="L44" s="49">
        <f t="shared" ref="L44:L45" si="19">(L36*$L$22)-$L$23</f>
        <v>16188193740.728615</v>
      </c>
      <c r="M44" s="49">
        <f>(M36*$M$22)-$M$23</f>
        <v>17246362205.961578</v>
      </c>
      <c r="N44" s="49">
        <f>(N36*$N$22)-$N$23</f>
        <v>18373699629.680405</v>
      </c>
    </row>
    <row r="45" spans="2:14">
      <c r="B45" s="9" t="s">
        <v>38</v>
      </c>
      <c r="C45" s="50">
        <f>(C37*$C$22)-$C$23</f>
        <v>0</v>
      </c>
      <c r="D45" s="50">
        <f>(D37*$D$22)-$D$23</f>
        <v>5364981234.0769348</v>
      </c>
      <c r="E45" s="50">
        <f t="shared" si="12"/>
        <v>11431344481.415009</v>
      </c>
      <c r="F45" s="50">
        <f t="shared" si="13"/>
        <v>12178573507.653717</v>
      </c>
      <c r="G45" s="50">
        <f t="shared" si="14"/>
        <v>12974646413.854347</v>
      </c>
      <c r="H45" s="50">
        <f t="shared" si="15"/>
        <v>13822755962.243698</v>
      </c>
      <c r="I45" s="50">
        <f t="shared" si="16"/>
        <v>14726303615.312424</v>
      </c>
      <c r="J45" s="50">
        <f t="shared" si="17"/>
        <v>15688913177.858238</v>
      </c>
      <c r="K45" s="50">
        <f t="shared" si="18"/>
        <v>16714445330.764153</v>
      </c>
      <c r="L45" s="50">
        <f t="shared" si="19"/>
        <v>17807013114.801491</v>
      </c>
      <c r="M45" s="50">
        <f>(M37*$M$22)-$M$23</f>
        <v>18970998426.557755</v>
      </c>
      <c r="N45" s="50">
        <f>(N37*$N$22)-$N$23</f>
        <v>20211069592.648453</v>
      </c>
    </row>
    <row r="50" spans="2:14">
      <c r="B50" s="14" t="s">
        <v>40</v>
      </c>
      <c r="C50" s="9"/>
      <c r="D50" s="9"/>
      <c r="E50" s="9"/>
      <c r="F50" s="9"/>
      <c r="G50" s="9"/>
      <c r="H50" s="9"/>
      <c r="I50" s="9"/>
      <c r="J50" s="9"/>
      <c r="K50" s="9"/>
      <c r="L50" s="9"/>
      <c r="M50" s="9"/>
      <c r="N50" s="9"/>
    </row>
    <row r="51" spans="2:14">
      <c r="B51" t="s">
        <v>83</v>
      </c>
    </row>
    <row r="52" spans="2:14">
      <c r="B52" t="str">
        <f>D19</f>
        <v>Agencia Nacional de Defensa Jurídica del Estado de la República de Colombia</v>
      </c>
    </row>
    <row r="53" spans="2:14">
      <c r="B53" t="str">
        <f>D6</f>
        <v>Supuestos macroeconómicos 2020 Ministerio de Hacienda y Crédito Público</v>
      </c>
    </row>
    <row r="54" spans="2:14">
      <c r="B54" t="s">
        <v>94</v>
      </c>
    </row>
    <row r="55" spans="2:14">
      <c r="B55" t="s">
        <v>95</v>
      </c>
    </row>
    <row r="56" spans="2:14">
      <c r="B56" t="s">
        <v>96</v>
      </c>
    </row>
    <row r="57" spans="2:14">
      <c r="B57" t="s">
        <v>97</v>
      </c>
    </row>
  </sheetData>
  <mergeCells count="1">
    <mergeCell ref="B3:D3"/>
  </mergeCells>
  <conditionalFormatting sqref="D11:D13">
    <cfRule type="iconSet" priority="2">
      <iconSet iconSet="4TrafficLights">
        <cfvo type="percent" val="0"/>
        <cfvo type="percent" val="25"/>
        <cfvo type="percent" val="50"/>
        <cfvo type="percent" val="75"/>
      </iconSet>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80"/>
  <sheetViews>
    <sheetView showGridLines="0" workbookViewId="0">
      <selection activeCell="B7" sqref="B7"/>
    </sheetView>
  </sheetViews>
  <sheetFormatPr defaultColWidth="11.19921875" defaultRowHeight="15.6" outlineLevelRow="2"/>
  <cols>
    <col min="1" max="1" width="8.5" bestFit="1" customWidth="1"/>
    <col min="2" max="2" width="62.19921875" bestFit="1" customWidth="1"/>
    <col min="3" max="3" width="29" bestFit="1" customWidth="1"/>
    <col min="4" max="4" width="23.796875" customWidth="1"/>
    <col min="5" max="7" width="18.5" bestFit="1" customWidth="1"/>
  </cols>
  <sheetData>
    <row r="2" spans="2:14" ht="23.4">
      <c r="B2" s="1" t="s">
        <v>11</v>
      </c>
    </row>
    <row r="3" spans="2:14" ht="18">
      <c r="B3" s="181" t="str">
        <f>Beneficios!B3</f>
        <v>CO-L1251. Programa de Fortalecimiento de la Agencia Nacional de Defensa Jurídica del Estado de Colombia</v>
      </c>
      <c r="C3" s="181"/>
      <c r="D3" s="181"/>
      <c r="E3" s="9"/>
      <c r="F3" s="9"/>
      <c r="G3" s="9"/>
      <c r="H3" s="9"/>
      <c r="I3" s="9"/>
      <c r="J3" s="9"/>
      <c r="K3" s="9"/>
      <c r="L3" s="9"/>
      <c r="M3" s="9"/>
      <c r="N3" s="9"/>
    </row>
    <row r="5" spans="2:14">
      <c r="B5" s="14" t="s">
        <v>1</v>
      </c>
      <c r="C5" s="9"/>
      <c r="D5" s="9"/>
      <c r="E5" s="9"/>
      <c r="F5" s="9"/>
      <c r="G5" s="9"/>
      <c r="H5" s="9"/>
      <c r="I5" s="9"/>
      <c r="J5" s="9"/>
      <c r="K5" s="9"/>
      <c r="L5" s="9"/>
      <c r="M5" s="9"/>
      <c r="N5" s="9"/>
    </row>
    <row r="6" spans="2:14">
      <c r="B6" s="15" t="s">
        <v>122</v>
      </c>
      <c r="C6" s="178">
        <f>Beneficios!C14</f>
        <v>36</v>
      </c>
      <c r="D6" t="str">
        <f>Beneficios!D14</f>
        <v>Agencia Nacional de Defensa Jurídica del Estado de la República de Colombia</v>
      </c>
    </row>
    <row r="7" spans="2:14">
      <c r="B7" s="15" t="s">
        <v>2</v>
      </c>
      <c r="C7" s="179">
        <f>CBA!C6</f>
        <v>0.12</v>
      </c>
      <c r="D7" t="str">
        <f>Beneficios!D8</f>
        <v>Banco Interamericano de Desarrollo</v>
      </c>
    </row>
    <row r="8" spans="2:14">
      <c r="B8" t="s">
        <v>48</v>
      </c>
      <c r="C8" s="166">
        <f>CBA!C11</f>
        <v>3151</v>
      </c>
      <c r="D8" t="str">
        <f>Beneficios!D6</f>
        <v>Supuestos macroeconómicos 2020 Ministerio de Hacienda y Crédito Público</v>
      </c>
    </row>
    <row r="9" spans="2:14">
      <c r="B9" t="s">
        <v>69</v>
      </c>
      <c r="C9" s="180">
        <f>'Tablero de Control'!C22</f>
        <v>0.19</v>
      </c>
      <c r="D9" t="s">
        <v>79</v>
      </c>
    </row>
    <row r="10" spans="2:14">
      <c r="C10" s="22"/>
    </row>
    <row r="12" spans="2:14">
      <c r="B12" s="14" t="s">
        <v>41</v>
      </c>
      <c r="C12" s="9"/>
      <c r="D12" s="9"/>
      <c r="E12" s="9"/>
      <c r="F12" s="9"/>
      <c r="G12" s="9"/>
      <c r="H12" s="9"/>
      <c r="I12" s="9"/>
      <c r="J12" s="9"/>
      <c r="K12" s="9"/>
      <c r="L12" s="9"/>
      <c r="M12" s="9"/>
      <c r="N12" s="9"/>
    </row>
    <row r="14" spans="2:14">
      <c r="B14" s="23" t="s">
        <v>9</v>
      </c>
      <c r="C14" s="23">
        <v>2019</v>
      </c>
      <c r="D14" s="23">
        <v>2020</v>
      </c>
      <c r="E14" s="23">
        <v>2021</v>
      </c>
      <c r="F14" s="23">
        <v>2022</v>
      </c>
      <c r="G14" s="23">
        <v>2023</v>
      </c>
      <c r="H14" s="23">
        <v>2024</v>
      </c>
      <c r="I14" s="23">
        <v>2025</v>
      </c>
      <c r="J14" s="23">
        <v>2026</v>
      </c>
      <c r="K14" s="23">
        <v>2027</v>
      </c>
      <c r="L14" s="23">
        <v>2028</v>
      </c>
      <c r="M14" s="23">
        <v>2029</v>
      </c>
      <c r="N14" s="23">
        <v>2030</v>
      </c>
    </row>
    <row r="15" spans="2:14">
      <c r="B15" s="16" t="s">
        <v>42</v>
      </c>
    </row>
    <row r="16" spans="2:14">
      <c r="B16" s="16"/>
    </row>
    <row r="17" spans="1:14">
      <c r="B17" s="17" t="s">
        <v>43</v>
      </c>
      <c r="C17" s="21">
        <f>SUM(C28,C39)</f>
        <v>222262874.75</v>
      </c>
      <c r="D17" s="21">
        <f t="shared" ref="D17:G17" si="0">SUM(D28,D39)</f>
        <v>10224092238.5</v>
      </c>
      <c r="E17" s="21">
        <f t="shared" si="0"/>
        <v>16314095006.65</v>
      </c>
      <c r="F17" s="21">
        <f t="shared" si="0"/>
        <v>11602122061.950001</v>
      </c>
      <c r="G17" s="21">
        <f t="shared" si="0"/>
        <v>6090002768.1499996</v>
      </c>
    </row>
    <row r="18" spans="1:14">
      <c r="B18" s="24" t="s">
        <v>44</v>
      </c>
      <c r="C18" s="25">
        <f>SUM(C17:C17)</f>
        <v>222262874.75</v>
      </c>
      <c r="D18" s="25">
        <f t="shared" ref="D18:N18" si="1">SUM(D17:D17)</f>
        <v>10224092238.5</v>
      </c>
      <c r="E18" s="25">
        <f t="shared" si="1"/>
        <v>16314095006.65</v>
      </c>
      <c r="F18" s="25">
        <f t="shared" si="1"/>
        <v>11602122061.950001</v>
      </c>
      <c r="G18" s="25">
        <f t="shared" si="1"/>
        <v>6090002768.1499996</v>
      </c>
      <c r="H18" s="25">
        <f t="shared" si="1"/>
        <v>0</v>
      </c>
      <c r="I18" s="25">
        <f t="shared" si="1"/>
        <v>0</v>
      </c>
      <c r="J18" s="25">
        <f t="shared" si="1"/>
        <v>0</v>
      </c>
      <c r="K18" s="25">
        <f t="shared" si="1"/>
        <v>0</v>
      </c>
      <c r="L18" s="25">
        <f t="shared" si="1"/>
        <v>0</v>
      </c>
      <c r="M18" s="25">
        <f t="shared" si="1"/>
        <v>0</v>
      </c>
      <c r="N18" s="25">
        <f t="shared" si="1"/>
        <v>0</v>
      </c>
    </row>
    <row r="19" spans="1:14">
      <c r="B19" s="18"/>
    </row>
    <row r="20" spans="1:14">
      <c r="B20" s="26" t="s">
        <v>45</v>
      </c>
      <c r="C20" s="9"/>
      <c r="D20" s="9"/>
      <c r="E20" s="9"/>
      <c r="F20" s="9"/>
      <c r="G20" s="9"/>
      <c r="H20" s="9"/>
      <c r="I20" s="9"/>
      <c r="J20" s="9"/>
      <c r="K20" s="9"/>
      <c r="L20" s="9"/>
      <c r="M20" s="9"/>
      <c r="N20" s="9"/>
    </row>
    <row r="21" spans="1:14">
      <c r="B21" s="19"/>
    </row>
    <row r="22" spans="1:14">
      <c r="B22" s="20" t="s">
        <v>46</v>
      </c>
    </row>
    <row r="23" spans="1:14">
      <c r="B23" s="20" t="s">
        <v>47</v>
      </c>
      <c r="C23" s="27">
        <f>C52</f>
        <v>14061337.5</v>
      </c>
      <c r="D23" s="27">
        <f t="shared" ref="D23:G23" si="2">D52</f>
        <v>646821525</v>
      </c>
      <c r="E23" s="27">
        <f t="shared" si="2"/>
        <v>1032102172.5</v>
      </c>
      <c r="F23" s="27">
        <f t="shared" si="2"/>
        <v>734001817.5</v>
      </c>
      <c r="G23" s="27">
        <f t="shared" si="2"/>
        <v>385280647.50000006</v>
      </c>
    </row>
    <row r="24" spans="1:14">
      <c r="B24" s="24" t="s">
        <v>49</v>
      </c>
      <c r="C24" s="25">
        <f>SUM(C22:C23)</f>
        <v>14061337.5</v>
      </c>
      <c r="D24" s="25">
        <f t="shared" ref="D24:N24" si="3">SUM(D22:D23)</f>
        <v>646821525</v>
      </c>
      <c r="E24" s="25">
        <f t="shared" si="3"/>
        <v>1032102172.5</v>
      </c>
      <c r="F24" s="25">
        <f t="shared" si="3"/>
        <v>734001817.5</v>
      </c>
      <c r="G24" s="25">
        <f t="shared" si="3"/>
        <v>385280647.50000006</v>
      </c>
      <c r="H24" s="25">
        <f t="shared" si="3"/>
        <v>0</v>
      </c>
      <c r="I24" s="25">
        <f t="shared" si="3"/>
        <v>0</v>
      </c>
      <c r="J24" s="25">
        <f t="shared" si="3"/>
        <v>0</v>
      </c>
      <c r="K24" s="25">
        <f t="shared" si="3"/>
        <v>0</v>
      </c>
      <c r="L24" s="25">
        <f t="shared" si="3"/>
        <v>0</v>
      </c>
      <c r="M24" s="25">
        <f t="shared" si="3"/>
        <v>0</v>
      </c>
      <c r="N24" s="25">
        <f t="shared" si="3"/>
        <v>0</v>
      </c>
    </row>
    <row r="25" spans="1:14" s="33" customFormat="1" outlineLevel="1">
      <c r="B25" s="31" t="s">
        <v>81</v>
      </c>
      <c r="C25" s="147">
        <v>5.0000000000000001E-3</v>
      </c>
      <c r="D25" s="147">
        <v>0.23</v>
      </c>
      <c r="E25" s="147">
        <v>0.36699999999999999</v>
      </c>
      <c r="F25" s="147">
        <v>0.26100000000000001</v>
      </c>
      <c r="G25" s="147">
        <v>0.13700000000000001</v>
      </c>
      <c r="H25" s="32"/>
      <c r="I25" s="32"/>
      <c r="J25" s="32"/>
      <c r="K25" s="32"/>
      <c r="L25" s="32"/>
      <c r="M25" s="32"/>
      <c r="N25" s="32"/>
    </row>
    <row r="26" spans="1:14" s="33" customFormat="1" outlineLevel="1">
      <c r="B26" s="141" t="s">
        <v>115</v>
      </c>
      <c r="C26" s="41"/>
      <c r="D26" s="41"/>
      <c r="E26" s="41"/>
      <c r="F26" s="41"/>
      <c r="G26" s="41"/>
      <c r="H26" s="28"/>
      <c r="I26" s="28"/>
      <c r="J26" s="28"/>
      <c r="K26" s="28"/>
      <c r="L26" s="28"/>
      <c r="M26" s="28"/>
      <c r="N26" s="28"/>
    </row>
    <row r="27" spans="1:14" s="33" customFormat="1" outlineLevel="1">
      <c r="B27" s="31"/>
      <c r="C27" s="37"/>
      <c r="D27" s="37"/>
      <c r="E27" s="37"/>
      <c r="F27" s="37"/>
      <c r="G27" s="37"/>
      <c r="H27" s="32"/>
      <c r="I27" s="32"/>
      <c r="J27" s="32"/>
      <c r="K27" s="32"/>
      <c r="L27" s="32"/>
      <c r="M27" s="32"/>
      <c r="N27" s="32"/>
    </row>
    <row r="28" spans="1:14" s="33" customFormat="1" ht="41.4" outlineLevel="1">
      <c r="A28" s="86" t="s">
        <v>7</v>
      </c>
      <c r="B28" s="118" t="s">
        <v>51</v>
      </c>
      <c r="C28" s="125">
        <f>C29+C34</f>
        <v>128520624.75</v>
      </c>
      <c r="D28" s="125">
        <f>D29+D34</f>
        <v>5911948738.5</v>
      </c>
      <c r="E28" s="125">
        <f t="shared" ref="E28:G28" si="4">E29+E34</f>
        <v>9433413856.6499996</v>
      </c>
      <c r="F28" s="125">
        <f t="shared" si="4"/>
        <v>6708776611.9499998</v>
      </c>
      <c r="G28" s="125">
        <f t="shared" si="4"/>
        <v>3521465118.1500001</v>
      </c>
      <c r="H28" s="125"/>
      <c r="I28" s="125"/>
      <c r="J28" s="125"/>
      <c r="K28" s="125"/>
      <c r="L28" s="125"/>
      <c r="M28" s="125"/>
      <c r="N28" s="125"/>
    </row>
    <row r="29" spans="1:14" s="33" customFormat="1" ht="27.6" outlineLevel="1">
      <c r="A29" s="86"/>
      <c r="B29" s="119" t="s">
        <v>52</v>
      </c>
      <c r="C29" s="126">
        <f>SUM(C30:C33)</f>
        <v>34778374.75</v>
      </c>
      <c r="D29" s="126">
        <f t="shared" ref="D29:F29" si="5">SUM(D30:D33)</f>
        <v>1599805238.5</v>
      </c>
      <c r="E29" s="126">
        <f t="shared" si="5"/>
        <v>2552732706.6500001</v>
      </c>
      <c r="F29" s="126">
        <f t="shared" si="5"/>
        <v>1815431161.95</v>
      </c>
      <c r="G29" s="126">
        <f>SUM(G30:G33)</f>
        <v>952927468.1500001</v>
      </c>
      <c r="H29" s="126"/>
      <c r="I29" s="126"/>
      <c r="J29" s="126"/>
      <c r="K29" s="126"/>
      <c r="L29" s="126"/>
      <c r="M29" s="126"/>
      <c r="N29" s="126"/>
    </row>
    <row r="30" spans="1:14" s="33" customFormat="1" outlineLevel="1">
      <c r="A30" s="98"/>
      <c r="B30" s="34" t="s">
        <v>116</v>
      </c>
      <c r="C30" s="36">
        <f>((416500*$C$8)*C25)*$A$56</f>
        <v>6561957.5</v>
      </c>
      <c r="D30" s="36">
        <f t="shared" ref="D30:G30" si="6">((416500*$C$8)*D25)*$A$56</f>
        <v>301850045</v>
      </c>
      <c r="E30" s="36">
        <f t="shared" si="6"/>
        <v>481647680.5</v>
      </c>
      <c r="F30" s="36">
        <f t="shared" si="6"/>
        <v>342534181.5</v>
      </c>
      <c r="G30" s="36">
        <f t="shared" si="6"/>
        <v>179797635.5</v>
      </c>
      <c r="H30" s="32"/>
      <c r="I30" s="32"/>
      <c r="J30" s="32"/>
      <c r="K30" s="32"/>
      <c r="L30" s="32"/>
      <c r="M30" s="32"/>
      <c r="N30" s="32"/>
    </row>
    <row r="31" spans="1:14" s="33" customFormat="1" outlineLevel="1">
      <c r="A31" s="98"/>
      <c r="B31" s="34" t="s">
        <v>117</v>
      </c>
      <c r="C31" s="36">
        <f>((416500*$C$8)*C25)*$A$56</f>
        <v>6561957.5</v>
      </c>
      <c r="D31" s="36">
        <f t="shared" ref="D31:G31" si="7">((416500*$C$8)*D25)*$A$56</f>
        <v>301850045</v>
      </c>
      <c r="E31" s="36">
        <f t="shared" si="7"/>
        <v>481647680.5</v>
      </c>
      <c r="F31" s="36">
        <f t="shared" si="7"/>
        <v>342534181.5</v>
      </c>
      <c r="G31" s="36">
        <f t="shared" si="7"/>
        <v>179797635.5</v>
      </c>
      <c r="H31" s="32"/>
      <c r="I31" s="32"/>
      <c r="J31" s="32"/>
      <c r="K31" s="32"/>
      <c r="L31" s="32"/>
      <c r="M31" s="32"/>
      <c r="N31" s="32"/>
    </row>
    <row r="32" spans="1:14" s="33" customFormat="1" outlineLevel="1">
      <c r="A32" s="98"/>
      <c r="B32" s="34" t="s">
        <v>118</v>
      </c>
      <c r="C32" s="36">
        <f>((416500*$C$8)*C25)*$A$56</f>
        <v>6561957.5</v>
      </c>
      <c r="D32" s="36">
        <f t="shared" ref="D32:G32" si="8">((416500*$C$8)*D25)*$A$56</f>
        <v>301850045</v>
      </c>
      <c r="E32" s="36">
        <f t="shared" si="8"/>
        <v>481647680.5</v>
      </c>
      <c r="F32" s="36">
        <f t="shared" si="8"/>
        <v>342534181.5</v>
      </c>
      <c r="G32" s="36">
        <f t="shared" si="8"/>
        <v>179797635.5</v>
      </c>
      <c r="H32" s="32"/>
      <c r="I32" s="32"/>
      <c r="J32" s="32"/>
      <c r="K32" s="32"/>
      <c r="L32" s="32"/>
      <c r="M32" s="32"/>
      <c r="N32" s="32"/>
    </row>
    <row r="33" spans="1:14" s="33" customFormat="1" outlineLevel="1">
      <c r="A33" s="98"/>
      <c r="B33" s="35" t="s">
        <v>119</v>
      </c>
      <c r="C33" s="36">
        <f>((957950*$C$8)*C25)*$A$56</f>
        <v>15092502.25</v>
      </c>
      <c r="D33" s="36">
        <f t="shared" ref="D33:G33" si="9">((957950*$C$8)*D25)*$A$56</f>
        <v>694255103.5</v>
      </c>
      <c r="E33" s="36">
        <f t="shared" si="9"/>
        <v>1107789665.1500001</v>
      </c>
      <c r="F33" s="36">
        <f t="shared" si="9"/>
        <v>787828617.45000005</v>
      </c>
      <c r="G33" s="36">
        <f t="shared" si="9"/>
        <v>413534561.65000004</v>
      </c>
      <c r="H33" s="32"/>
      <c r="I33" s="32"/>
      <c r="J33" s="32"/>
      <c r="K33" s="32"/>
      <c r="L33" s="32"/>
      <c r="M33" s="32"/>
      <c r="N33" s="32"/>
    </row>
    <row r="34" spans="1:14" s="33" customFormat="1" ht="41.4" outlineLevel="1">
      <c r="A34" s="98"/>
      <c r="B34" s="119" t="s">
        <v>66</v>
      </c>
      <c r="C34" s="126">
        <f>SUM(C35:C38)</f>
        <v>93742250</v>
      </c>
      <c r="D34" s="126">
        <f t="shared" ref="D34:G34" si="10">SUM(D35:D38)</f>
        <v>4312143500</v>
      </c>
      <c r="E34" s="126">
        <f t="shared" si="10"/>
        <v>6880681150</v>
      </c>
      <c r="F34" s="126">
        <f t="shared" si="10"/>
        <v>4893345450</v>
      </c>
      <c r="G34" s="126">
        <f t="shared" si="10"/>
        <v>2568537650</v>
      </c>
      <c r="H34" s="126"/>
      <c r="I34" s="126"/>
      <c r="J34" s="126"/>
      <c r="K34" s="126"/>
      <c r="L34" s="126"/>
      <c r="M34" s="126"/>
      <c r="N34" s="126"/>
    </row>
    <row r="35" spans="1:14" s="33" customFormat="1" outlineLevel="1">
      <c r="A35" s="98"/>
      <c r="B35" s="34" t="s">
        <v>53</v>
      </c>
      <c r="C35" s="36">
        <f>((1190000*$C$8)*C25)*$A$60</f>
        <v>18748450</v>
      </c>
      <c r="D35" s="36">
        <f t="shared" ref="D35:G35" si="11">((1190000*$C$8)*D25)*$A$60</f>
        <v>862428700</v>
      </c>
      <c r="E35" s="36">
        <f t="shared" si="11"/>
        <v>1376136230</v>
      </c>
      <c r="F35" s="36">
        <f t="shared" si="11"/>
        <v>978669090</v>
      </c>
      <c r="G35" s="36">
        <f t="shared" si="11"/>
        <v>513707530.00000006</v>
      </c>
      <c r="H35" s="32"/>
      <c r="I35" s="32"/>
      <c r="J35" s="32"/>
      <c r="K35" s="32"/>
      <c r="L35" s="32"/>
      <c r="M35" s="32"/>
      <c r="N35" s="32"/>
    </row>
    <row r="36" spans="1:14" s="33" customFormat="1" outlineLevel="1">
      <c r="A36" s="98"/>
      <c r="B36" s="34" t="s">
        <v>54</v>
      </c>
      <c r="C36" s="36">
        <f>((2380000*$C$8)*C25)*$A$59</f>
        <v>37496900</v>
      </c>
      <c r="D36" s="36">
        <f t="shared" ref="D36:G36" si="12">((2380000*$C$8)*D25)*$A$59</f>
        <v>1724857400</v>
      </c>
      <c r="E36" s="36">
        <f t="shared" si="12"/>
        <v>2752272460</v>
      </c>
      <c r="F36" s="36">
        <f t="shared" si="12"/>
        <v>1957338180</v>
      </c>
      <c r="G36" s="36">
        <f t="shared" si="12"/>
        <v>1027415060.0000001</v>
      </c>
      <c r="H36" s="32"/>
      <c r="I36" s="32"/>
      <c r="J36" s="32"/>
      <c r="K36" s="32"/>
      <c r="L36" s="32"/>
      <c r="M36" s="32"/>
      <c r="N36" s="32"/>
    </row>
    <row r="37" spans="1:14" s="33" customFormat="1" outlineLevel="1">
      <c r="A37" s="98"/>
      <c r="B37" s="34" t="s">
        <v>55</v>
      </c>
      <c r="C37" s="36">
        <f>((595000*$C$8)*C25)*$A$59</f>
        <v>9374225</v>
      </c>
      <c r="D37" s="36">
        <f t="shared" ref="D37:G37" si="13">((595000*$C$8)*D25)*$A$59</f>
        <v>431214350</v>
      </c>
      <c r="E37" s="36">
        <f t="shared" si="13"/>
        <v>688068115</v>
      </c>
      <c r="F37" s="36">
        <f t="shared" si="13"/>
        <v>489334545</v>
      </c>
      <c r="G37" s="36">
        <f t="shared" si="13"/>
        <v>256853765.00000003</v>
      </c>
      <c r="H37" s="32"/>
      <c r="I37" s="32"/>
      <c r="J37" s="32"/>
      <c r="K37" s="32"/>
      <c r="L37" s="32"/>
      <c r="M37" s="32"/>
      <c r="N37" s="32"/>
    </row>
    <row r="38" spans="1:14" s="33" customFormat="1" outlineLevel="1">
      <c r="A38" s="138"/>
      <c r="B38" s="34" t="s">
        <v>56</v>
      </c>
      <c r="C38" s="36">
        <f>C57+C58</f>
        <v>28122674.999999996</v>
      </c>
      <c r="D38" s="36">
        <f t="shared" ref="D38:G38" si="14">D57+D58</f>
        <v>1293643049.9999998</v>
      </c>
      <c r="E38" s="36">
        <f t="shared" si="14"/>
        <v>2064204345</v>
      </c>
      <c r="F38" s="36">
        <f t="shared" si="14"/>
        <v>1468003635</v>
      </c>
      <c r="G38" s="36">
        <f t="shared" si="14"/>
        <v>770561295</v>
      </c>
      <c r="H38" s="32"/>
      <c r="I38" s="32"/>
      <c r="J38" s="32"/>
      <c r="K38" s="32"/>
      <c r="L38" s="32"/>
      <c r="M38" s="32"/>
      <c r="N38" s="32"/>
    </row>
    <row r="39" spans="1:14" s="33" customFormat="1" ht="41.4" outlineLevel="1">
      <c r="A39" s="98"/>
      <c r="B39" s="118" t="s">
        <v>57</v>
      </c>
      <c r="C39" s="125">
        <f>C40+C42+C49</f>
        <v>93742250</v>
      </c>
      <c r="D39" s="125">
        <f t="shared" ref="D39:G39" si="15">D40+D42+D49</f>
        <v>4312143500</v>
      </c>
      <c r="E39" s="125">
        <f t="shared" si="15"/>
        <v>6880681150</v>
      </c>
      <c r="F39" s="125">
        <f t="shared" si="15"/>
        <v>4893345450</v>
      </c>
      <c r="G39" s="125">
        <f t="shared" si="15"/>
        <v>2568537650</v>
      </c>
      <c r="H39" s="125"/>
      <c r="I39" s="125"/>
      <c r="J39" s="125"/>
      <c r="K39" s="125"/>
      <c r="L39" s="125"/>
      <c r="M39" s="125"/>
      <c r="N39" s="125"/>
    </row>
    <row r="40" spans="1:14" s="33" customFormat="1" ht="41.4" outlineLevel="1">
      <c r="A40" s="98"/>
      <c r="B40" s="119" t="s">
        <v>58</v>
      </c>
      <c r="C40" s="126">
        <f>SUM(C41)</f>
        <v>11249070</v>
      </c>
      <c r="D40" s="126">
        <f t="shared" ref="D40:G40" si="16">SUM(D41)</f>
        <v>517457220</v>
      </c>
      <c r="E40" s="126">
        <f t="shared" si="16"/>
        <v>825681738</v>
      </c>
      <c r="F40" s="126">
        <f t="shared" si="16"/>
        <v>587201454</v>
      </c>
      <c r="G40" s="126">
        <f t="shared" si="16"/>
        <v>308224518</v>
      </c>
      <c r="H40" s="126"/>
      <c r="I40" s="126"/>
      <c r="J40" s="126"/>
      <c r="K40" s="126"/>
      <c r="L40" s="126"/>
      <c r="M40" s="126"/>
      <c r="N40" s="126"/>
    </row>
    <row r="41" spans="1:14" s="33" customFormat="1" outlineLevel="1">
      <c r="A41" s="98"/>
      <c r="B41" s="34" t="s">
        <v>59</v>
      </c>
      <c r="C41" s="36">
        <f>((714000*$C$8)*C25)*$A$63</f>
        <v>11249070</v>
      </c>
      <c r="D41" s="36">
        <f t="shared" ref="D41:G41" si="17">((714000*$C$8)*D25)*$A$63</f>
        <v>517457220</v>
      </c>
      <c r="E41" s="36">
        <f t="shared" si="17"/>
        <v>825681738</v>
      </c>
      <c r="F41" s="36">
        <f t="shared" si="17"/>
        <v>587201454</v>
      </c>
      <c r="G41" s="36">
        <f t="shared" si="17"/>
        <v>308224518</v>
      </c>
      <c r="H41" s="32"/>
      <c r="I41" s="32"/>
      <c r="J41" s="32"/>
      <c r="K41" s="32"/>
      <c r="L41" s="32"/>
      <c r="M41" s="32"/>
      <c r="N41" s="32"/>
    </row>
    <row r="42" spans="1:14" s="33" customFormat="1" ht="27.6" outlineLevel="1">
      <c r="A42" s="98"/>
      <c r="B42" s="119" t="s">
        <v>60</v>
      </c>
      <c r="C42" s="126">
        <f>SUM(C43:C48)</f>
        <v>56245350</v>
      </c>
      <c r="D42" s="126">
        <f t="shared" ref="D42:G42" si="18">SUM(D43:D48)</f>
        <v>2587286100</v>
      </c>
      <c r="E42" s="126">
        <f t="shared" si="18"/>
        <v>4128408690</v>
      </c>
      <c r="F42" s="126">
        <f t="shared" si="18"/>
        <v>2936007270</v>
      </c>
      <c r="G42" s="126">
        <f t="shared" si="18"/>
        <v>1541122590</v>
      </c>
      <c r="H42" s="126"/>
      <c r="I42" s="126"/>
      <c r="J42" s="126"/>
      <c r="K42" s="126"/>
      <c r="L42" s="126"/>
      <c r="M42" s="126"/>
      <c r="N42" s="126"/>
    </row>
    <row r="43" spans="1:14" s="33" customFormat="1" outlineLevel="1">
      <c r="A43" s="98"/>
      <c r="B43" s="34" t="s">
        <v>61</v>
      </c>
      <c r="C43" s="36">
        <f>((416500*$C$8)*C25)*$A$64</f>
        <v>6561957.5</v>
      </c>
      <c r="D43" s="36">
        <f t="shared" ref="D43:G43" si="19">((416500*$C$8)*D25)*$A$64</f>
        <v>301850045</v>
      </c>
      <c r="E43" s="36">
        <f t="shared" si="19"/>
        <v>481647680.5</v>
      </c>
      <c r="F43" s="36">
        <f t="shared" si="19"/>
        <v>342534181.5</v>
      </c>
      <c r="G43" s="36">
        <f t="shared" si="19"/>
        <v>179797635.5</v>
      </c>
      <c r="H43" s="32"/>
      <c r="I43" s="32"/>
      <c r="J43" s="32"/>
      <c r="K43" s="32"/>
      <c r="L43" s="32"/>
      <c r="M43" s="32"/>
      <c r="N43" s="32"/>
    </row>
    <row r="44" spans="1:14" s="33" customFormat="1" outlineLevel="1">
      <c r="A44" s="98"/>
      <c r="B44" s="34" t="s">
        <v>62</v>
      </c>
      <c r="C44" s="36">
        <f>((833000*$C$8)*C25)*$A$64</f>
        <v>13123915</v>
      </c>
      <c r="D44" s="36">
        <f t="shared" ref="D44:G44" si="20">((833000*$C$8)*D25)*$A$64</f>
        <v>603700090</v>
      </c>
      <c r="E44" s="36">
        <f t="shared" si="20"/>
        <v>963295361</v>
      </c>
      <c r="F44" s="36">
        <f t="shared" si="20"/>
        <v>685068363</v>
      </c>
      <c r="G44" s="36">
        <f t="shared" si="20"/>
        <v>359595271</v>
      </c>
      <c r="H44" s="32"/>
      <c r="I44" s="32"/>
      <c r="J44" s="32"/>
      <c r="K44" s="32"/>
      <c r="L44" s="32"/>
      <c r="M44" s="32"/>
      <c r="N44" s="32"/>
    </row>
    <row r="45" spans="1:14" s="33" customFormat="1" outlineLevel="1">
      <c r="A45" s="98"/>
      <c r="B45" s="34" t="s">
        <v>111</v>
      </c>
      <c r="C45" s="36">
        <f>((892500*$C$8)*C25)*$A$64</f>
        <v>14061337.5</v>
      </c>
      <c r="D45" s="36">
        <f t="shared" ref="D45:G45" si="21">((892500*$C$8)*D25)*$A$64</f>
        <v>646821525</v>
      </c>
      <c r="E45" s="36">
        <f t="shared" si="21"/>
        <v>1032102172.5</v>
      </c>
      <c r="F45" s="36">
        <f t="shared" si="21"/>
        <v>734001817.5</v>
      </c>
      <c r="G45" s="36">
        <f t="shared" si="21"/>
        <v>385280647.50000006</v>
      </c>
      <c r="H45" s="32"/>
      <c r="I45" s="32"/>
      <c r="J45" s="32"/>
      <c r="K45" s="32"/>
      <c r="L45" s="32"/>
      <c r="M45" s="32"/>
      <c r="N45" s="32"/>
    </row>
    <row r="46" spans="1:14" s="33" customFormat="1" outlineLevel="1">
      <c r="A46" s="98"/>
      <c r="B46" s="34" t="s">
        <v>63</v>
      </c>
      <c r="C46" s="36">
        <f>((476000*$C$8)*C25)*$A$64</f>
        <v>7499380</v>
      </c>
      <c r="D46" s="36">
        <f t="shared" ref="D46:G46" si="22">((476000*$C$8)*D25)*$A$64</f>
        <v>344971480</v>
      </c>
      <c r="E46" s="36">
        <f t="shared" si="22"/>
        <v>550454492</v>
      </c>
      <c r="F46" s="36">
        <f t="shared" si="22"/>
        <v>391467636</v>
      </c>
      <c r="G46" s="36">
        <f t="shared" si="22"/>
        <v>205483012.00000003</v>
      </c>
      <c r="H46" s="32"/>
      <c r="I46" s="32"/>
      <c r="J46" s="32"/>
      <c r="K46" s="32"/>
      <c r="L46" s="32"/>
      <c r="M46" s="32"/>
      <c r="N46" s="32"/>
    </row>
    <row r="47" spans="1:14" s="33" customFormat="1" outlineLevel="1">
      <c r="A47" s="98"/>
      <c r="B47" s="34" t="s">
        <v>64</v>
      </c>
      <c r="C47" s="36">
        <f>((357000*$C$8)*C25)*$A$64</f>
        <v>5624535</v>
      </c>
      <c r="D47" s="36">
        <f t="shared" ref="D47:G47" si="23">((357000*$C$8)*D25)*$A$64</f>
        <v>258728610</v>
      </c>
      <c r="E47" s="36">
        <f t="shared" si="23"/>
        <v>412840869</v>
      </c>
      <c r="F47" s="36">
        <f t="shared" si="23"/>
        <v>293600727</v>
      </c>
      <c r="G47" s="36">
        <f t="shared" si="23"/>
        <v>154112259</v>
      </c>
      <c r="H47" s="32"/>
      <c r="I47" s="32"/>
      <c r="J47" s="32"/>
      <c r="K47" s="32"/>
      <c r="L47" s="32"/>
      <c r="M47" s="32"/>
      <c r="N47" s="32"/>
    </row>
    <row r="48" spans="1:14" s="33" customFormat="1" outlineLevel="1">
      <c r="A48" s="98"/>
      <c r="B48" s="34" t="s">
        <v>65</v>
      </c>
      <c r="C48" s="36">
        <f>((595000*$C$8)*C25)*$A$65</f>
        <v>9374225</v>
      </c>
      <c r="D48" s="36">
        <f t="shared" ref="D48:G48" si="24">((595000*$C$8)*D25)*$A$65</f>
        <v>431214350</v>
      </c>
      <c r="E48" s="36">
        <f t="shared" si="24"/>
        <v>688068115</v>
      </c>
      <c r="F48" s="36">
        <f t="shared" si="24"/>
        <v>489334545</v>
      </c>
      <c r="G48" s="36">
        <f t="shared" si="24"/>
        <v>256853765.00000003</v>
      </c>
      <c r="H48" s="32"/>
      <c r="I48" s="32"/>
      <c r="J48" s="32"/>
      <c r="K48" s="32"/>
      <c r="L48" s="32"/>
      <c r="M48" s="32"/>
      <c r="N48" s="32"/>
    </row>
    <row r="49" spans="1:14" s="33" customFormat="1" outlineLevel="1">
      <c r="A49" s="98"/>
      <c r="B49" s="119" t="s">
        <v>114</v>
      </c>
      <c r="C49" s="126">
        <f>SUM(C50:C51)</f>
        <v>26247830</v>
      </c>
      <c r="D49" s="126">
        <f t="shared" ref="D49:G49" si="25">SUM(D50:D51)</f>
        <v>1207400180</v>
      </c>
      <c r="E49" s="126">
        <f t="shared" si="25"/>
        <v>1926590722</v>
      </c>
      <c r="F49" s="126">
        <f t="shared" si="25"/>
        <v>1370136726</v>
      </c>
      <c r="G49" s="126">
        <f t="shared" si="25"/>
        <v>719190542.00000012</v>
      </c>
      <c r="H49" s="126"/>
      <c r="I49" s="126"/>
      <c r="J49" s="126"/>
      <c r="K49" s="126"/>
      <c r="L49" s="126"/>
      <c r="M49" s="126"/>
      <c r="N49" s="126"/>
    </row>
    <row r="50" spans="1:14" s="33" customFormat="1" outlineLevel="1">
      <c r="A50" s="98"/>
      <c r="B50" s="34" t="s">
        <v>112</v>
      </c>
      <c r="C50" s="36">
        <f>((595000*$C$8)*C25)*$A$66</f>
        <v>9374225</v>
      </c>
      <c r="D50" s="36">
        <f t="shared" ref="D50:G50" si="26">((595000*$C$8)*D25)*$A$66</f>
        <v>431214350</v>
      </c>
      <c r="E50" s="36">
        <f t="shared" si="26"/>
        <v>688068115</v>
      </c>
      <c r="F50" s="36">
        <f t="shared" si="26"/>
        <v>489334545</v>
      </c>
      <c r="G50" s="36">
        <f t="shared" si="26"/>
        <v>256853765.00000003</v>
      </c>
      <c r="H50" s="32"/>
      <c r="I50" s="32"/>
      <c r="J50" s="32"/>
      <c r="K50" s="32"/>
      <c r="L50" s="32"/>
      <c r="M50" s="32"/>
      <c r="N50" s="32"/>
    </row>
    <row r="51" spans="1:14" s="33" customFormat="1" outlineLevel="1">
      <c r="A51" s="98"/>
      <c r="B51" s="34" t="s">
        <v>113</v>
      </c>
      <c r="C51" s="36">
        <f>((1071000*$C$8)*C25)*$A$66</f>
        <v>16873605</v>
      </c>
      <c r="D51" s="36">
        <f t="shared" ref="D51:G51" si="27">((1071000*$C$8)*D25)*$A$66</f>
        <v>776185830</v>
      </c>
      <c r="E51" s="36">
        <f t="shared" si="27"/>
        <v>1238522607</v>
      </c>
      <c r="F51" s="36">
        <f t="shared" si="27"/>
        <v>880802181</v>
      </c>
      <c r="G51" s="36">
        <f t="shared" si="27"/>
        <v>462336777.00000006</v>
      </c>
      <c r="H51" s="32"/>
      <c r="I51" s="32"/>
      <c r="J51" s="32"/>
      <c r="K51" s="32"/>
      <c r="L51" s="32"/>
      <c r="M51" s="32"/>
      <c r="N51" s="32"/>
    </row>
    <row r="52" spans="1:14" s="33" customFormat="1" outlineLevel="1">
      <c r="A52" s="117">
        <f>A67</f>
        <v>1</v>
      </c>
      <c r="B52" s="120" t="s">
        <v>68</v>
      </c>
      <c r="C52" s="126">
        <f>((892500*$C$8)*C25)*$A$52</f>
        <v>14061337.5</v>
      </c>
      <c r="D52" s="126">
        <f>((892500*$C$8)*D25)*$A$52</f>
        <v>646821525</v>
      </c>
      <c r="E52" s="126">
        <f>((892500*$C$8)*E25)*$A$52</f>
        <v>1032102172.5</v>
      </c>
      <c r="F52" s="126">
        <f>((892500*$C$8)*F25)*$A$52</f>
        <v>734001817.5</v>
      </c>
      <c r="G52" s="126">
        <f>((892500*$C$8)*G25)*$A$52</f>
        <v>385280647.50000006</v>
      </c>
      <c r="H52" s="126"/>
      <c r="I52" s="126"/>
      <c r="J52" s="126"/>
      <c r="K52" s="126"/>
      <c r="L52" s="126"/>
      <c r="M52" s="126"/>
      <c r="N52" s="126"/>
    </row>
    <row r="53" spans="1:14" s="131" customFormat="1" outlineLevel="1">
      <c r="A53" s="128"/>
      <c r="B53" s="129"/>
      <c r="C53" s="130"/>
      <c r="D53" s="130"/>
      <c r="E53" s="130"/>
      <c r="F53" s="130"/>
      <c r="G53" s="130"/>
      <c r="H53" s="130"/>
      <c r="I53" s="130"/>
      <c r="J53" s="130"/>
      <c r="K53" s="130"/>
      <c r="L53" s="130"/>
      <c r="M53" s="130"/>
      <c r="N53" s="130"/>
    </row>
    <row r="54" spans="1:14" s="131" customFormat="1" outlineLevel="2">
      <c r="A54" s="128"/>
      <c r="B54" s="132" t="s">
        <v>108</v>
      </c>
      <c r="C54" s="133"/>
      <c r="D54" s="133"/>
      <c r="E54" s="133"/>
      <c r="F54" s="133"/>
      <c r="G54" s="133"/>
      <c r="H54" s="133"/>
      <c r="I54" s="133"/>
      <c r="J54" s="133"/>
      <c r="K54" s="133"/>
      <c r="L54" s="133"/>
      <c r="M54" s="133"/>
      <c r="N54" s="133"/>
    </row>
    <row r="55" spans="1:14" s="131" customFormat="1" outlineLevel="2">
      <c r="A55" s="128"/>
      <c r="B55" s="142" t="s">
        <v>109</v>
      </c>
      <c r="C55" s="143">
        <f>SUM(C56:C61)</f>
        <v>128520624.75</v>
      </c>
      <c r="D55" s="143">
        <f t="shared" ref="D55:G55" si="28">SUM(D56:D61)</f>
        <v>5911948738.5</v>
      </c>
      <c r="E55" s="143">
        <f t="shared" si="28"/>
        <v>9433413856.6499996</v>
      </c>
      <c r="F55" s="143">
        <f t="shared" si="28"/>
        <v>6708776611.9499998</v>
      </c>
      <c r="G55" s="143">
        <f t="shared" si="28"/>
        <v>3521465118.1500006</v>
      </c>
      <c r="H55" s="143"/>
      <c r="I55" s="143"/>
      <c r="J55" s="143"/>
      <c r="K55" s="143"/>
      <c r="L55" s="143"/>
      <c r="M55" s="143"/>
      <c r="N55" s="143"/>
    </row>
    <row r="56" spans="1:14" s="131" customFormat="1" outlineLevel="2">
      <c r="A56" s="139">
        <v>1</v>
      </c>
      <c r="B56" s="134" t="str">
        <f>'[2]Presupuesto final'!$G$3</f>
        <v>Modelo de Gestión Integral diseñado e implementado (incluye diagnóstico)</v>
      </c>
      <c r="C56" s="136">
        <f>SUM(C30:C33)</f>
        <v>34778374.75</v>
      </c>
      <c r="D56" s="136">
        <f>SUM(D30:D33)</f>
        <v>1599805238.5</v>
      </c>
      <c r="E56" s="136">
        <f>SUM(E30:E33)</f>
        <v>2552732706.6500001</v>
      </c>
      <c r="F56" s="136">
        <f>SUM(F30:F33)</f>
        <v>1815431161.95</v>
      </c>
      <c r="G56" s="136">
        <f>SUM(G30:G33)</f>
        <v>952927468.1500001</v>
      </c>
      <c r="H56" s="130"/>
      <c r="I56" s="130"/>
      <c r="J56" s="130"/>
      <c r="K56" s="130"/>
      <c r="L56" s="130"/>
      <c r="M56" s="130"/>
      <c r="N56" s="130"/>
    </row>
    <row r="57" spans="1:14" s="131" customFormat="1" outlineLevel="2">
      <c r="A57" s="139">
        <v>1</v>
      </c>
      <c r="B57" s="134" t="str">
        <f>'[2]Presupuesto final'!$G$4</f>
        <v>Diseño Modelo Arquitectura de Datos</v>
      </c>
      <c r="C57" s="136">
        <f>(($C$8*1785000)*C25)*(0.88795518)*$A$57</f>
        <v>24971674.941706497</v>
      </c>
      <c r="D57" s="136">
        <f t="shared" ref="D57:G57" si="29">(($C$8*1785000)*D25)*(0.88795518)*$A$57</f>
        <v>1148697047.3184988</v>
      </c>
      <c r="E57" s="136">
        <f t="shared" si="29"/>
        <v>1832920940.721257</v>
      </c>
      <c r="F57" s="136">
        <f t="shared" si="29"/>
        <v>1303521431.9570792</v>
      </c>
      <c r="G57" s="136">
        <f t="shared" si="29"/>
        <v>684223893.40275812</v>
      </c>
      <c r="H57" s="130"/>
      <c r="I57" s="130"/>
      <c r="J57" s="130"/>
      <c r="K57" s="130"/>
      <c r="L57" s="130"/>
      <c r="M57" s="130"/>
      <c r="N57" s="130"/>
    </row>
    <row r="58" spans="1:14" s="131" customFormat="1" outlineLevel="2">
      <c r="A58" s="139">
        <v>1</v>
      </c>
      <c r="B58" s="134" t="str">
        <f>'[2]Presupuesto final'!$G$5</f>
        <v>Diagnóstico y optimización del  portafolio actual de productos y servicios</v>
      </c>
      <c r="C58" s="136">
        <f>((($C$8*1785000)*C25))*(0.11204482)*$A$58</f>
        <v>3151000.0582935</v>
      </c>
      <c r="D58" s="136">
        <f t="shared" ref="D58:G58" si="30">((($C$8*1785000)*D25))*(0.11204482)*$A$58</f>
        <v>144946002.681501</v>
      </c>
      <c r="E58" s="136">
        <f t="shared" si="30"/>
        <v>231283404.27874291</v>
      </c>
      <c r="F58" s="136">
        <f t="shared" si="30"/>
        <v>164482203.04292071</v>
      </c>
      <c r="G58" s="136">
        <f t="shared" si="30"/>
        <v>86337401.597241923</v>
      </c>
      <c r="H58" s="130"/>
      <c r="I58" s="130"/>
      <c r="J58" s="130"/>
      <c r="K58" s="130"/>
      <c r="L58" s="130"/>
      <c r="M58" s="130"/>
      <c r="N58" s="130"/>
    </row>
    <row r="59" spans="1:14" s="131" customFormat="1" ht="28.8" outlineLevel="2">
      <c r="A59" s="139">
        <v>1</v>
      </c>
      <c r="B59" s="134" t="str">
        <f>'[2]Presupuesto final'!$G$6</f>
        <v xml:space="preserve">Diseño de nuevos productos y servicios del portafolio: Gestión de casos, expediente electrónico, entre los principales) </v>
      </c>
      <c r="C59" s="136">
        <f>C36+C37</f>
        <v>46871125</v>
      </c>
      <c r="D59" s="136">
        <f t="shared" ref="D59:G59" si="31">D36+D37</f>
        <v>2156071750</v>
      </c>
      <c r="E59" s="136">
        <f t="shared" si="31"/>
        <v>3440340575</v>
      </c>
      <c r="F59" s="136">
        <f t="shared" si="31"/>
        <v>2446672725</v>
      </c>
      <c r="G59" s="136">
        <f t="shared" si="31"/>
        <v>1284268825.0000002</v>
      </c>
      <c r="H59" s="130"/>
      <c r="I59" s="130"/>
      <c r="J59" s="130"/>
      <c r="K59" s="130"/>
      <c r="L59" s="130"/>
      <c r="M59" s="130"/>
      <c r="N59" s="130"/>
    </row>
    <row r="60" spans="1:14" s="131" customFormat="1" ht="28.8" outlineLevel="2">
      <c r="A60" s="139">
        <v>1</v>
      </c>
      <c r="B60" s="134" t="str">
        <f>'[2]Presupuesto final'!$G$7</f>
        <v>Diseño e implementación de herramienta para la gestión de grupos de interés (CRM)</v>
      </c>
      <c r="C60" s="136">
        <f>C35</f>
        <v>18748450</v>
      </c>
      <c r="D60" s="136">
        <f t="shared" ref="D60:G60" si="32">D35</f>
        <v>862428700</v>
      </c>
      <c r="E60" s="136">
        <f t="shared" si="32"/>
        <v>1376136230</v>
      </c>
      <c r="F60" s="136">
        <f t="shared" si="32"/>
        <v>978669090</v>
      </c>
      <c r="G60" s="136">
        <f t="shared" si="32"/>
        <v>513707530.00000006</v>
      </c>
      <c r="H60" s="130"/>
      <c r="I60" s="130"/>
      <c r="J60" s="130"/>
      <c r="K60" s="130"/>
      <c r="L60" s="130"/>
      <c r="M60" s="130"/>
      <c r="N60" s="130"/>
    </row>
    <row r="61" spans="1:14" s="131" customFormat="1" outlineLevel="2">
      <c r="A61" s="139"/>
      <c r="B61" s="135"/>
      <c r="C61" s="130"/>
      <c r="D61" s="130"/>
      <c r="E61" s="130"/>
      <c r="F61" s="130"/>
      <c r="G61" s="130"/>
      <c r="H61" s="130"/>
      <c r="I61" s="130"/>
      <c r="J61" s="130"/>
      <c r="K61" s="130"/>
      <c r="L61" s="130"/>
      <c r="M61" s="130"/>
      <c r="N61" s="130"/>
    </row>
    <row r="62" spans="1:14" s="131" customFormat="1" outlineLevel="2">
      <c r="A62" s="139"/>
      <c r="B62" s="144" t="s">
        <v>110</v>
      </c>
      <c r="C62" s="143">
        <f>SUM(C63:C66)</f>
        <v>93742250</v>
      </c>
      <c r="D62" s="143">
        <f t="shared" ref="D62:G62" si="33">SUM(D63:D66)</f>
        <v>4312143500</v>
      </c>
      <c r="E62" s="143">
        <f t="shared" si="33"/>
        <v>6880681150</v>
      </c>
      <c r="F62" s="143">
        <f t="shared" si="33"/>
        <v>4893345450</v>
      </c>
      <c r="G62" s="143">
        <f t="shared" si="33"/>
        <v>2568537650</v>
      </c>
      <c r="H62" s="143"/>
      <c r="I62" s="143"/>
      <c r="J62" s="143"/>
      <c r="K62" s="143"/>
      <c r="L62" s="143"/>
      <c r="M62" s="143"/>
      <c r="N62" s="143"/>
    </row>
    <row r="63" spans="1:14" s="131" customFormat="1" outlineLevel="2">
      <c r="A63" s="139">
        <v>1</v>
      </c>
      <c r="B63" s="134" t="str">
        <f>'[2]Presupuesto final'!$G$14</f>
        <v>Diseño e implementación nuevos modulos de eKOGUI</v>
      </c>
      <c r="C63" s="136">
        <f>C41</f>
        <v>11249070</v>
      </c>
      <c r="D63" s="136">
        <f t="shared" ref="D63:G63" si="34">D41</f>
        <v>517457220</v>
      </c>
      <c r="E63" s="136">
        <f t="shared" si="34"/>
        <v>825681738</v>
      </c>
      <c r="F63" s="136">
        <f t="shared" si="34"/>
        <v>587201454</v>
      </c>
      <c r="G63" s="136">
        <f t="shared" si="34"/>
        <v>308224518</v>
      </c>
      <c r="H63" s="130"/>
      <c r="I63" s="130"/>
      <c r="J63" s="130"/>
      <c r="K63" s="130"/>
      <c r="L63" s="130"/>
      <c r="M63" s="130"/>
      <c r="N63" s="130"/>
    </row>
    <row r="64" spans="1:14" s="131" customFormat="1" ht="28.8" outlineLevel="2">
      <c r="A64" s="139">
        <v>1</v>
      </c>
      <c r="B64" s="134" t="str">
        <f>'[2]Presupuesto final'!$G$15</f>
        <v>Desarrollo e implementación de herrramientas para el análisis predictivo y prospectivo</v>
      </c>
      <c r="C64" s="136">
        <f>SUM(C43:C47)</f>
        <v>46871125</v>
      </c>
      <c r="D64" s="136">
        <f t="shared" ref="D64:G64" si="35">SUM(D43:D47)</f>
        <v>2156071750</v>
      </c>
      <c r="E64" s="136">
        <f t="shared" si="35"/>
        <v>3440340575</v>
      </c>
      <c r="F64" s="136">
        <f t="shared" si="35"/>
        <v>2446672725</v>
      </c>
      <c r="G64" s="136">
        <f t="shared" si="35"/>
        <v>1284268825</v>
      </c>
      <c r="H64" s="130"/>
      <c r="I64" s="130"/>
      <c r="J64" s="130"/>
      <c r="K64" s="130"/>
      <c r="L64" s="130"/>
      <c r="M64" s="130"/>
      <c r="N64" s="130"/>
    </row>
    <row r="65" spans="1:14" s="131" customFormat="1" outlineLevel="2">
      <c r="A65" s="139">
        <v>1</v>
      </c>
      <c r="B65" s="134" t="str">
        <f>'[2]Presupuesto final'!$G$16</f>
        <v>Diagnóstico, optimización e implementación de estrategia de conocimiento</v>
      </c>
      <c r="C65" s="136">
        <f>C48</f>
        <v>9374225</v>
      </c>
      <c r="D65" s="136">
        <f t="shared" ref="D65:G65" si="36">D48</f>
        <v>431214350</v>
      </c>
      <c r="E65" s="136">
        <f t="shared" si="36"/>
        <v>688068115</v>
      </c>
      <c r="F65" s="136">
        <f t="shared" si="36"/>
        <v>489334545</v>
      </c>
      <c r="G65" s="136">
        <f t="shared" si="36"/>
        <v>256853765.00000003</v>
      </c>
      <c r="H65" s="130"/>
      <c r="I65" s="130"/>
      <c r="J65" s="130"/>
      <c r="K65" s="130"/>
      <c r="L65" s="130"/>
      <c r="M65" s="130"/>
      <c r="N65" s="130"/>
    </row>
    <row r="66" spans="1:14" s="131" customFormat="1" outlineLevel="2">
      <c r="A66" s="139">
        <v>1</v>
      </c>
      <c r="B66" s="134" t="str">
        <f>'[2]Presupuesto final'!$G$17</f>
        <v>Desarrollo de proteciones de ciberseguridad e infraestuctura y servicios TIC</v>
      </c>
      <c r="C66" s="136">
        <f>SUM(C50:C51)</f>
        <v>26247830</v>
      </c>
      <c r="D66" s="136">
        <f t="shared" ref="D66:G66" si="37">SUM(D50:D51)</f>
        <v>1207400180</v>
      </c>
      <c r="E66" s="136">
        <f t="shared" si="37"/>
        <v>1926590722</v>
      </c>
      <c r="F66" s="136">
        <f t="shared" si="37"/>
        <v>1370136726</v>
      </c>
      <c r="G66" s="136">
        <f t="shared" si="37"/>
        <v>719190542.00000012</v>
      </c>
      <c r="H66" s="130"/>
      <c r="I66" s="130"/>
      <c r="J66" s="130"/>
      <c r="K66" s="130"/>
      <c r="L66" s="130"/>
      <c r="M66" s="130"/>
      <c r="N66" s="130"/>
    </row>
    <row r="67" spans="1:14" s="33" customFormat="1" outlineLevel="2">
      <c r="A67" s="140">
        <f>SUM(A56:A66)/9</f>
        <v>1</v>
      </c>
      <c r="B67" s="145" t="str">
        <f t="shared" ref="B67:G67" si="38">B52</f>
        <v>Auditoria, Evaluación y Monitoreo</v>
      </c>
      <c r="C67" s="145">
        <f t="shared" si="38"/>
        <v>14061337.5</v>
      </c>
      <c r="D67" s="145">
        <f t="shared" si="38"/>
        <v>646821525</v>
      </c>
      <c r="E67" s="145">
        <f t="shared" si="38"/>
        <v>1032102172.5</v>
      </c>
      <c r="F67" s="145">
        <f t="shared" si="38"/>
        <v>734001817.5</v>
      </c>
      <c r="G67" s="145">
        <f t="shared" si="38"/>
        <v>385280647.50000006</v>
      </c>
      <c r="H67" s="143"/>
      <c r="I67" s="143"/>
      <c r="J67" s="143"/>
      <c r="K67" s="143"/>
      <c r="L67" s="143"/>
      <c r="M67" s="143"/>
      <c r="N67" s="143"/>
    </row>
    <row r="68" spans="1:14" s="33" customFormat="1" outlineLevel="1">
      <c r="B68" s="31"/>
      <c r="C68" s="32"/>
      <c r="D68" s="32"/>
      <c r="E68" s="32"/>
      <c r="F68" s="32"/>
      <c r="G68" s="32"/>
      <c r="H68" s="32"/>
      <c r="I68" s="32"/>
      <c r="J68" s="32"/>
      <c r="K68" s="32"/>
      <c r="L68" s="32"/>
      <c r="M68" s="32"/>
      <c r="N68" s="32"/>
    </row>
    <row r="69" spans="1:14" s="33" customFormat="1">
      <c r="B69" s="39" t="s">
        <v>67</v>
      </c>
      <c r="C69" s="40">
        <f t="shared" ref="C69:N69" si="39">(SUM(C52,C39,C28)-(SUM(C52,C39,C28)/1.19))</f>
        <v>37732437.25</v>
      </c>
      <c r="D69" s="40">
        <f t="shared" si="39"/>
        <v>1735692113.5</v>
      </c>
      <c r="E69" s="40">
        <f t="shared" si="39"/>
        <v>2769560894.1499996</v>
      </c>
      <c r="F69" s="40">
        <f t="shared" si="39"/>
        <v>1969633224.4499989</v>
      </c>
      <c r="G69" s="40">
        <f t="shared" si="39"/>
        <v>1033868780.6499996</v>
      </c>
      <c r="H69" s="40">
        <f t="shared" si="39"/>
        <v>0</v>
      </c>
      <c r="I69" s="40">
        <f t="shared" si="39"/>
        <v>0</v>
      </c>
      <c r="J69" s="40">
        <f t="shared" si="39"/>
        <v>0</v>
      </c>
      <c r="K69" s="40">
        <f t="shared" si="39"/>
        <v>0</v>
      </c>
      <c r="L69" s="40">
        <f t="shared" si="39"/>
        <v>0</v>
      </c>
      <c r="M69" s="40">
        <f t="shared" si="39"/>
        <v>0</v>
      </c>
      <c r="N69" s="40">
        <f t="shared" si="39"/>
        <v>0</v>
      </c>
    </row>
    <row r="70" spans="1:14" s="33" customFormat="1">
      <c r="B70" s="42" t="s">
        <v>70</v>
      </c>
      <c r="C70" s="43">
        <f>C71-C69</f>
        <v>198591775</v>
      </c>
      <c r="D70" s="43">
        <f t="shared" ref="D70:N70" si="40">D71-D69</f>
        <v>9135221650</v>
      </c>
      <c r="E70" s="43">
        <f t="shared" si="40"/>
        <v>14576636285.000002</v>
      </c>
      <c r="F70" s="43">
        <f t="shared" si="40"/>
        <v>10366490655.000002</v>
      </c>
      <c r="G70" s="43">
        <f t="shared" si="40"/>
        <v>5441414635</v>
      </c>
      <c r="H70" s="43">
        <f t="shared" si="40"/>
        <v>0</v>
      </c>
      <c r="I70" s="43">
        <f t="shared" si="40"/>
        <v>0</v>
      </c>
      <c r="J70" s="43">
        <f t="shared" si="40"/>
        <v>0</v>
      </c>
      <c r="K70" s="43">
        <f t="shared" si="40"/>
        <v>0</v>
      </c>
      <c r="L70" s="43">
        <f t="shared" si="40"/>
        <v>0</v>
      </c>
      <c r="M70" s="43">
        <f t="shared" si="40"/>
        <v>0</v>
      </c>
      <c r="N70" s="43">
        <f t="shared" si="40"/>
        <v>0</v>
      </c>
    </row>
    <row r="71" spans="1:14">
      <c r="B71" s="29" t="s">
        <v>50</v>
      </c>
      <c r="C71" s="30">
        <f>C18+C24</f>
        <v>236324212.25</v>
      </c>
      <c r="D71" s="30">
        <f t="shared" ref="D71:N71" si="41">D18+D24</f>
        <v>10870913763.5</v>
      </c>
      <c r="E71" s="30">
        <f t="shared" si="41"/>
        <v>17346197179.150002</v>
      </c>
      <c r="F71" s="30">
        <f t="shared" si="41"/>
        <v>12336123879.450001</v>
      </c>
      <c r="G71" s="30">
        <f t="shared" si="41"/>
        <v>6475283415.6499996</v>
      </c>
      <c r="H71" s="30">
        <f t="shared" si="41"/>
        <v>0</v>
      </c>
      <c r="I71" s="30">
        <f t="shared" si="41"/>
        <v>0</v>
      </c>
      <c r="J71" s="30">
        <f t="shared" si="41"/>
        <v>0</v>
      </c>
      <c r="K71" s="30">
        <f t="shared" si="41"/>
        <v>0</v>
      </c>
      <c r="L71" s="30">
        <f t="shared" si="41"/>
        <v>0</v>
      </c>
      <c r="M71" s="30">
        <f t="shared" ref="M71" si="42">M18+M24</f>
        <v>0</v>
      </c>
      <c r="N71" s="30">
        <f t="shared" si="41"/>
        <v>0</v>
      </c>
    </row>
    <row r="72" spans="1:14">
      <c r="A72" t="s">
        <v>7</v>
      </c>
      <c r="B72" s="146" t="str">
        <f>IF(SUM(C28:G28,C39:G39,C52:G52)=SUM(C67:G67,C55:G55,C62:G62),"TRUE","FALSE")</f>
        <v>TRUE</v>
      </c>
    </row>
    <row r="73" spans="1:14">
      <c r="C73" s="38"/>
      <c r="D73" s="38"/>
      <c r="E73" s="38"/>
      <c r="F73" s="38"/>
      <c r="G73" s="38"/>
    </row>
    <row r="74" spans="1:14">
      <c r="B74" s="14" t="s">
        <v>40</v>
      </c>
      <c r="C74" s="9"/>
      <c r="D74" s="9"/>
      <c r="E74" s="9"/>
      <c r="F74" s="9"/>
      <c r="G74" s="9"/>
      <c r="H74" s="9"/>
      <c r="I74" s="9"/>
      <c r="J74" s="9"/>
      <c r="K74" s="9"/>
      <c r="L74" s="9"/>
      <c r="M74" s="9"/>
      <c r="N74" s="9"/>
    </row>
    <row r="75" spans="1:14">
      <c r="B75" t="str">
        <f>D6</f>
        <v>Agencia Nacional de Defensa Jurídica del Estado de la República de Colombia</v>
      </c>
    </row>
    <row r="76" spans="1:14">
      <c r="B76" t="str">
        <f t="shared" ref="B76:B78" si="43">D7</f>
        <v>Banco Interamericano de Desarrollo</v>
      </c>
    </row>
    <row r="77" spans="1:14">
      <c r="B77" t="str">
        <f t="shared" si="43"/>
        <v>Supuestos macroeconómicos 2020 Ministerio de Hacienda y Crédito Público</v>
      </c>
    </row>
    <row r="78" spans="1:14">
      <c r="B78" t="str">
        <f t="shared" si="43"/>
        <v>Estatuto Tributario de la República de Colombia. Decreto 624 de 1989</v>
      </c>
    </row>
    <row r="80" spans="1:14">
      <c r="C80" s="137"/>
    </row>
  </sheetData>
  <mergeCells count="1">
    <mergeCell ref="B3:D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51"/>
  <sheetViews>
    <sheetView showGridLines="0" tabSelected="1" topLeftCell="A4" workbookViewId="0">
      <selection activeCell="C12" sqref="C12"/>
    </sheetView>
  </sheetViews>
  <sheetFormatPr defaultColWidth="11.19921875" defaultRowHeight="15.6"/>
  <cols>
    <col min="2" max="2" width="23.796875" customWidth="1"/>
    <col min="3" max="3" width="62.796875" customWidth="1"/>
    <col min="4" max="4" width="87.296875" customWidth="1"/>
    <col min="5" max="5" width="14.796875" bestFit="1" customWidth="1"/>
  </cols>
  <sheetData>
    <row r="2" spans="2:5" ht="23.4">
      <c r="B2" s="121" t="s">
        <v>1</v>
      </c>
    </row>
    <row r="3" spans="2:5">
      <c r="B3" s="9" t="str">
        <f>Costos!B3</f>
        <v>CO-L1251. Programa de Fortalecimiento de la Agencia Nacional de Defensa Jurídica del Estado de Colombia</v>
      </c>
      <c r="C3" s="9"/>
    </row>
    <row r="5" spans="2:5">
      <c r="B5" s="14" t="s">
        <v>1</v>
      </c>
      <c r="C5" s="9"/>
    </row>
    <row r="6" spans="2:5" ht="16.2" thickBot="1"/>
    <row r="7" spans="2:5">
      <c r="B7" s="104" t="str">
        <f>CBA!B6</f>
        <v>Tasa de descuento</v>
      </c>
      <c r="C7" s="107" t="s">
        <v>85</v>
      </c>
    </row>
    <row r="8" spans="2:5" ht="109.2">
      <c r="B8" s="105" t="str">
        <f>CBA!B10</f>
        <v>Número de abogados</v>
      </c>
      <c r="C8" s="108" t="s">
        <v>120</v>
      </c>
      <c r="D8" s="11"/>
    </row>
    <row r="9" spans="2:5" ht="46.8">
      <c r="B9" s="105" t="str">
        <f>CBA!B11</f>
        <v>Tipo de Cambio Promedio</v>
      </c>
      <c r="C9" s="108" t="s">
        <v>86</v>
      </c>
    </row>
    <row r="10" spans="2:5" ht="202.95" customHeight="1">
      <c r="B10" s="105" t="str">
        <f>Beneficios!B10</f>
        <v>Incremento en número de procesos</v>
      </c>
      <c r="C10" s="108" t="s">
        <v>87</v>
      </c>
    </row>
    <row r="11" spans="2:5" ht="31.2">
      <c r="B11" s="150" t="s">
        <v>136</v>
      </c>
      <c r="C11" s="151" t="s">
        <v>135</v>
      </c>
    </row>
    <row r="12" spans="2:5" ht="109.8" thickBot="1">
      <c r="B12" s="106" t="str">
        <f>Beneficios!B7</f>
        <v>Aumento Salarial</v>
      </c>
      <c r="C12" s="109" t="s">
        <v>121</v>
      </c>
      <c r="D12" s="11"/>
    </row>
    <row r="13" spans="2:5">
      <c r="B13" s="149"/>
    </row>
    <row r="15" spans="2:5">
      <c r="C15" s="112"/>
    </row>
    <row r="16" spans="2:5">
      <c r="B16" s="22"/>
      <c r="C16" s="22"/>
      <c r="D16" s="22"/>
      <c r="E16" s="22"/>
    </row>
    <row r="17" spans="2:5">
      <c r="B17" s="113"/>
      <c r="C17" s="113"/>
      <c r="D17" s="113"/>
      <c r="E17" s="113"/>
    </row>
    <row r="18" spans="2:5">
      <c r="B18" s="22"/>
      <c r="C18" s="22"/>
      <c r="D18" s="22"/>
      <c r="E18" s="22"/>
    </row>
    <row r="19" spans="2:5">
      <c r="B19" s="113"/>
      <c r="C19" s="113"/>
      <c r="D19" s="113"/>
    </row>
    <row r="46" spans="1:5">
      <c r="A46" t="s">
        <v>7</v>
      </c>
    </row>
    <row r="47" spans="1:5">
      <c r="A47" s="2"/>
      <c r="B47" s="2" t="s">
        <v>93</v>
      </c>
      <c r="C47" s="115" t="s">
        <v>90</v>
      </c>
      <c r="D47" s="2" t="s">
        <v>89</v>
      </c>
      <c r="E47" s="2" t="s">
        <v>91</v>
      </c>
    </row>
    <row r="48" spans="1:5">
      <c r="A48" s="2" t="s">
        <v>98</v>
      </c>
      <c r="B48" s="116">
        <v>16089856</v>
      </c>
      <c r="C48" s="116">
        <v>17340038</v>
      </c>
      <c r="D48" s="116">
        <v>18510491</v>
      </c>
      <c r="E48" s="116">
        <v>19452675</v>
      </c>
    </row>
    <row r="49" spans="1:5">
      <c r="A49" s="2"/>
      <c r="B49" s="114">
        <f>(C48/B48)-1</f>
        <v>7.7700011734101349E-2</v>
      </c>
      <c r="C49" s="114">
        <f t="shared" ref="C49" si="0">(D48/C48)-1</f>
        <v>6.7500025086450144E-2</v>
      </c>
      <c r="D49" s="114">
        <f t="shared" ref="D49" si="1">(E48/D48)-1</f>
        <v>5.0900000437589688E-2</v>
      </c>
      <c r="E49" s="114"/>
    </row>
    <row r="50" spans="1:5">
      <c r="A50" s="2" t="s">
        <v>99</v>
      </c>
      <c r="B50" s="116">
        <v>8011285</v>
      </c>
      <c r="C50" s="116">
        <v>8633762</v>
      </c>
      <c r="D50" s="116">
        <v>9216541</v>
      </c>
      <c r="E50" s="116">
        <v>9685663</v>
      </c>
    </row>
    <row r="51" spans="1:5">
      <c r="A51" s="2"/>
      <c r="B51" s="114">
        <f>(C50/B50)-1</f>
        <v>7.7700019410119614E-2</v>
      </c>
      <c r="C51" s="114">
        <f>(D50/C50)-1</f>
        <v>6.750000752858365E-2</v>
      </c>
      <c r="D51" s="114">
        <f>(E50/D50)-1</f>
        <v>5.0900006846386292E-2</v>
      </c>
      <c r="E51" s="2"/>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4.xml><?xml version="1.0" encoding="utf-8"?>
<?mso-contentType ?>
<SharedContentType xmlns="Microsoft.SharePoint.Taxonomy.ContentTypeSync" SourceId="ae61f9b1-e23d-4f49-b3d7-56b991556c4b" ContentTypeId="0x0101001A458A224826124E8B45B1D613300CFC" PreviousValue="false"/>
</file>

<file path=customXml/item5.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 - Simultaneous Disclosure</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CO</TermName>
          <TermId xmlns="http://schemas.microsoft.com/office/infopath/2007/PartnerControls">c7d386d6-75f3-4fc0-bde8-e021ccd68f5c</TermId>
        </TermInfo>
      </Terms>
    </ic46d7e087fd4a108fb86518ca413cc6>
    <IDBDocs_x0020_Number xmlns="cdc7663a-08f0-4737-9e8c-148ce897a09c" xsi:nil="true"/>
    <Division_x0020_or_x0020_Unit xmlns="cdc7663a-08f0-4737-9e8c-148ce897a09c">IFD/ICS</Division_x0020_or_x0020_Unit>
    <Fiscal_x0020_Year_x0020_IDB xmlns="cdc7663a-08f0-4737-9e8c-148ce897a09c">2019</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 xsi:nil="true"/>
    <Document_x0020_Author xmlns="cdc7663a-08f0-4737-9e8c-148ce897a09c">Rojas Gonzalez, Sonia Amalia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RM-JUS</TermName>
          <TermId xmlns="http://schemas.microsoft.com/office/infopath/2007/PartnerControls">8f414175-31d2-470b-971f-627feb27bbc3</TermId>
        </TermInfo>
      </Terms>
    </b2ec7cfb18674cb8803df6b262e8b107>
    <Business_x0020_Area xmlns="cdc7663a-08f0-4737-9e8c-148ce897a09c" xsi:nil="true"/>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g511464f9e53401d84b16fa9b379a574>
    <Related_x0020_SisCor_x0020_Number xmlns="cdc7663a-08f0-4737-9e8c-148ce897a09c" xsi:nil="true"/>
    <TaxCatchAll xmlns="cdc7663a-08f0-4737-9e8c-148ce897a09c">
      <Value>27</Value>
      <Value>57</Value>
      <Value>1</Value>
      <Value>35</Value>
    </TaxCatchAll>
    <Operation_x0020_Type xmlns="cdc7663a-08f0-4737-9e8c-148ce897a09c">LON</Operation_x0020_Type>
    <Package_x0020_Code xmlns="cdc7663a-08f0-4737-9e8c-148ce897a09c" xsi:nil="true"/>
    <Identifier xmlns="cdc7663a-08f0-4737-9e8c-148ce897a09c" xsi:nil="true"/>
    <Project_x0020_Number xmlns="cdc7663a-08f0-4737-9e8c-148ce897a09c">CO-L1251</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RM</TermName>
          <TermId xmlns="http://schemas.microsoft.com/office/infopath/2007/PartnerControls">c8fda4a7-691a-4c65-b227-9825197b5cd2</TermId>
        </TermInfo>
      </Terms>
    </nddeef1749674d76abdbe4b239a70bc6>
    <Record_x0020_Number xmlns="cdc7663a-08f0-4737-9e8c-148ce897a09c" xsi:nil="true"/>
    <_dlc_DocId xmlns="cdc7663a-08f0-4737-9e8c-148ce897a09c">EZSHARE-1873395818-37</_dlc_DocId>
    <_dlc_DocIdUrl xmlns="cdc7663a-08f0-4737-9e8c-148ce897a09c">
      <Url>https://idbg.sharepoint.com/teams/EZ-CO-LON/CO-L1251/_layouts/15/DocIdRedir.aspx?ID=EZSHARE-1873395818-37</Url>
      <Description>EZSHARE-1873395818-37</Description>
    </_dlc_DocIdUrl>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6.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41EBC7EEB85A2A4791C8E4199EDBAFF7" ma:contentTypeVersion="2387" ma:contentTypeDescription="A content type to manage public (operations) IDB documents" ma:contentTypeScope="" ma:versionID="b2f82dedd9a8a82f6eb3a8a17a0cca5a">
  <xsd:schema xmlns:xsd="http://www.w3.org/2001/XMLSchema" xmlns:xs="http://www.w3.org/2001/XMLSchema" xmlns:p="http://schemas.microsoft.com/office/2006/metadata/properties" xmlns:ns2="cdc7663a-08f0-4737-9e8c-148ce897a09c" targetNamespace="http://schemas.microsoft.com/office/2006/metadata/properties" ma:root="true" ma:fieldsID="9d6c7bf6aa4c0f55b5fc02b7f099a77c"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ADF62-0D03-4A88-97F3-2BE14D4C2B9A}">
  <ds:schemaRefs>
    <ds:schemaRef ds:uri="http://schemas.microsoft.com/sharepoint/v3/contenttype/forms"/>
  </ds:schemaRefs>
</ds:datastoreItem>
</file>

<file path=customXml/itemProps2.xml><?xml version="1.0" encoding="utf-8"?>
<ds:datastoreItem xmlns:ds="http://schemas.openxmlformats.org/officeDocument/2006/customXml" ds:itemID="{928A94BF-4A8F-4251-A440-3F1874F47DE5}">
  <ds:schemaRefs>
    <ds:schemaRef ds:uri="http://schemas.microsoft.com/sharepoint/events"/>
  </ds:schemaRefs>
</ds:datastoreItem>
</file>

<file path=customXml/itemProps3.xml><?xml version="1.0" encoding="utf-8"?>
<ds:datastoreItem xmlns:ds="http://schemas.openxmlformats.org/officeDocument/2006/customXml" ds:itemID="{ACF3F863-CBFD-45E7-9713-283B983F9890}"/>
</file>

<file path=customXml/itemProps4.xml><?xml version="1.0" encoding="utf-8"?>
<ds:datastoreItem xmlns:ds="http://schemas.openxmlformats.org/officeDocument/2006/customXml" ds:itemID="{63EE665F-1A13-408B-8811-1AB68E9B78B9}"/>
</file>

<file path=customXml/itemProps5.xml><?xml version="1.0" encoding="utf-8"?>
<ds:datastoreItem xmlns:ds="http://schemas.openxmlformats.org/officeDocument/2006/customXml" ds:itemID="{08EAB86D-94EC-4401-9675-602FA30173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dc7663a-08f0-4737-9e8c-148ce897a09c"/>
    <ds:schemaRef ds:uri="http://www.w3.org/XML/1998/namespace"/>
    <ds:schemaRef ds:uri="http://purl.org/dc/dcmitype/"/>
  </ds:schemaRefs>
</ds:datastoreItem>
</file>

<file path=customXml/itemProps6.xml><?xml version="1.0" encoding="utf-8"?>
<ds:datastoreItem xmlns:ds="http://schemas.openxmlformats.org/officeDocument/2006/customXml" ds:itemID="{8D057C0C-5DA4-4A0C-818F-ED945A7899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Tablero de Control</vt:lpstr>
      <vt:lpstr>CBA</vt:lpstr>
      <vt:lpstr>Beneficios</vt:lpstr>
      <vt:lpstr>Costos</vt:lpstr>
      <vt:lpstr>Supuestos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Gartner Jaramillo</dc:creator>
  <cp:keywords/>
  <cp:lastModifiedBy>Rojas Gonzalez, Sonia Amalia</cp:lastModifiedBy>
  <dcterms:created xsi:type="dcterms:W3CDTF">2019-05-13T15:08:15Z</dcterms:created>
  <dcterms:modified xsi:type="dcterms:W3CDTF">2019-11-07T15:43:28Z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TaxKeyword">
    <vt:lpwstr/>
  </property>
  <property fmtid="{D5CDD505-2E9C-101B-9397-08002B2CF9AE}" pid="4" name="TaxKeywordTaxHTField">
    <vt:lpwstr/>
  </property>
  <property fmtid="{D5CDD505-2E9C-101B-9397-08002B2CF9AE}" pid="5" name="Series Operations IDB">
    <vt:lpwstr/>
  </property>
  <property fmtid="{D5CDD505-2E9C-101B-9397-08002B2CF9AE}" pid="6" name="Sub-Sector">
    <vt:lpwstr>57;#RM-JUS|8f414175-31d2-470b-971f-627feb27bbc3</vt:lpwstr>
  </property>
  <property fmtid="{D5CDD505-2E9C-101B-9397-08002B2CF9AE}" pid="7" name="Fund IDB">
    <vt:lpwstr/>
  </property>
  <property fmtid="{D5CDD505-2E9C-101B-9397-08002B2CF9AE}" pid="8" name="Country">
    <vt:lpwstr>27;#CO|c7d386d6-75f3-4fc0-bde8-e021ccd68f5c</vt:lpwstr>
  </property>
  <property fmtid="{D5CDD505-2E9C-101B-9397-08002B2CF9AE}" pid="9" name="Sector IDB">
    <vt:lpwstr>35;#RM|c8fda4a7-691a-4c65-b227-9825197b5cd2</vt:lpwstr>
  </property>
  <property fmtid="{D5CDD505-2E9C-101B-9397-08002B2CF9AE}" pid="10" name="Function Operations IDB">
    <vt:lpwstr>1;#Project Preparation, Planning and Design|29ca0c72-1fc4-435f-a09c-28585cb5eac9</vt:lpwstr>
  </property>
  <property fmtid="{D5CDD505-2E9C-101B-9397-08002B2CF9AE}" pid="11" name="_dlc_DocIdItemGuid">
    <vt:lpwstr>52c2b460-b1a2-456c-9a13-df768653ea8f</vt:lpwstr>
  </property>
  <property fmtid="{D5CDD505-2E9C-101B-9397-08002B2CF9AE}" pid="12" name="Disclosure Activity">
    <vt:lpwstr>Loan Proposal</vt:lpwstr>
  </property>
  <property fmtid="{D5CDD505-2E9C-101B-9397-08002B2CF9AE}" pid="13" name="ContentTypeId">
    <vt:lpwstr>0x0101001A458A224826124E8B45B1D613300CFC0041EBC7EEB85A2A4791C8E4199EDBAFF7</vt:lpwstr>
  </property>
</Properties>
</file>