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bg.sharepoint.com/teams/EZ-RG-LON/RG-L1132/15 LifeCycle Milestones/"/>
    </mc:Choice>
  </mc:AlternateContent>
  <xr:revisionPtr revIDLastSave="90" documentId="11_2CD2F5A7F06865B4CBFD93A6CB0EE8FC4B432556" xr6:coauthVersionLast="44" xr6:coauthVersionMax="45" xr10:uidLastSave="{B14D38FD-D401-4D89-A0DE-493D7D7FACE5}"/>
  <bookViews>
    <workbookView xWindow="28680" yWindow="-120" windowWidth="29040" windowHeight="15840" activeTab="4" xr2:uid="{00000000-000D-0000-FFFF-FFFF00000000}"/>
  </bookViews>
  <sheets>
    <sheet name="1. Presupuesto detallado" sheetId="1" r:id="rId1"/>
    <sheet name="2.Presupuesto Resumido" sheetId="2" r:id="rId2"/>
    <sheet name="3.POA año 1" sheetId="6" r:id="rId3"/>
    <sheet name="4.PEP Plurianual " sheetId="5" r:id="rId4"/>
    <sheet name="Sheet2" sheetId="8" r:id="rId5"/>
    <sheet name="5. Plan Adquisiciones" sheetId="4" state="hidden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8" l="1"/>
  <c r="F5" i="1"/>
  <c r="F20" i="8"/>
  <c r="E19" i="8"/>
  <c r="D19" i="8"/>
  <c r="E18" i="8"/>
  <c r="F18" i="8" s="1"/>
  <c r="E17" i="8"/>
  <c r="F17" i="8" s="1"/>
  <c r="F16" i="8"/>
  <c r="E16" i="8"/>
  <c r="D15" i="8"/>
  <c r="E14" i="8"/>
  <c r="F14" i="8" s="1"/>
  <c r="E13" i="8"/>
  <c r="F13" i="8" s="1"/>
  <c r="E12" i="8"/>
  <c r="F12" i="8" s="1"/>
  <c r="E11" i="8"/>
  <c r="F11" i="8" s="1"/>
  <c r="E10" i="8"/>
  <c r="F10" i="8" s="1"/>
  <c r="D9" i="8"/>
  <c r="D7" i="8"/>
  <c r="E6" i="8"/>
  <c r="F6" i="8" s="1"/>
  <c r="G24" i="1"/>
  <c r="F24" i="1"/>
  <c r="E24" i="1"/>
  <c r="F19" i="8" l="1"/>
  <c r="E15" i="8"/>
  <c r="F15" i="8" s="1"/>
  <c r="F9" i="8"/>
  <c r="E9" i="8"/>
  <c r="D5" i="8"/>
  <c r="E7" i="8"/>
  <c r="F7" i="8" s="1"/>
  <c r="E5" i="8"/>
  <c r="E11" i="6"/>
  <c r="E17" i="6"/>
  <c r="E22" i="6"/>
  <c r="E6" i="6"/>
  <c r="E5" i="6" s="1"/>
  <c r="B16" i="6"/>
  <c r="B15" i="6"/>
  <c r="B14" i="6"/>
  <c r="B13" i="6"/>
  <c r="B12" i="6"/>
  <c r="B11" i="6"/>
  <c r="F5" i="8" l="1"/>
  <c r="F21" i="8" s="1"/>
  <c r="E21" i="8"/>
  <c r="D21" i="8"/>
  <c r="C6" i="1"/>
  <c r="G13" i="8" l="1"/>
  <c r="G20" i="8"/>
  <c r="G17" i="8"/>
  <c r="G10" i="8"/>
  <c r="G6" i="8"/>
  <c r="G16" i="8"/>
  <c r="G14" i="8"/>
  <c r="G11" i="8"/>
  <c r="G18" i="8"/>
  <c r="G12" i="8"/>
  <c r="G19" i="8"/>
  <c r="G15" i="8"/>
  <c r="G9" i="8"/>
  <c r="G7" i="8"/>
  <c r="G8" i="8"/>
  <c r="G5" i="8"/>
  <c r="L16" i="4"/>
  <c r="L11" i="4"/>
  <c r="L17" i="4" s="1"/>
  <c r="L18" i="4" s="1"/>
  <c r="P15" i="5"/>
  <c r="Q15" i="5" s="1"/>
  <c r="P14" i="5"/>
  <c r="Q14" i="5" s="1"/>
  <c r="J13" i="5"/>
  <c r="K13" i="5" s="1"/>
  <c r="M12" i="5"/>
  <c r="N12" i="5" s="1"/>
  <c r="U15" i="5"/>
  <c r="N15" i="5"/>
  <c r="O15" i="5"/>
  <c r="L15" i="5"/>
  <c r="I15" i="5"/>
  <c r="B16" i="5"/>
  <c r="C31" i="4" s="1"/>
  <c r="B15" i="5"/>
  <c r="B14" i="5"/>
  <c r="B13" i="5"/>
  <c r="B12" i="5"/>
  <c r="V13" i="1"/>
  <c r="H19" i="4" s="1"/>
  <c r="V12" i="1"/>
  <c r="Y12" i="1" s="1"/>
  <c r="V11" i="1"/>
  <c r="Y11" i="1" s="1"/>
  <c r="AJ14" i="1"/>
  <c r="AM14" i="1" s="1"/>
  <c r="AI14" i="1"/>
  <c r="U13" i="1"/>
  <c r="C19" i="4" s="1"/>
  <c r="U12" i="1"/>
  <c r="C18" i="4" s="1"/>
  <c r="U11" i="1"/>
  <c r="C17" i="4" s="1"/>
  <c r="O10" i="1"/>
  <c r="R10" i="1" s="1"/>
  <c r="N10" i="1"/>
  <c r="C11" i="4" s="1"/>
  <c r="C9" i="1"/>
  <c r="D14" i="1"/>
  <c r="E14" i="1" s="1"/>
  <c r="D11" i="1"/>
  <c r="E11" i="1" s="1"/>
  <c r="D12" i="1"/>
  <c r="E12" i="1" s="1"/>
  <c r="D13" i="1"/>
  <c r="E13" i="1" s="1"/>
  <c r="G21" i="8" l="1"/>
  <c r="V15" i="5"/>
  <c r="Z12" i="1"/>
  <c r="I18" i="4" s="1"/>
  <c r="H11" i="4"/>
  <c r="I11" i="4" s="1"/>
  <c r="S10" i="1"/>
  <c r="S22" i="1" s="1"/>
  <c r="R22" i="1"/>
  <c r="H31" i="4"/>
  <c r="I31" i="4" s="1"/>
  <c r="AN14" i="1"/>
  <c r="AN22" i="1" s="1"/>
  <c r="AM22" i="1"/>
  <c r="Z11" i="1"/>
  <c r="I17" i="4" s="1"/>
  <c r="H17" i="4"/>
  <c r="H18" i="4"/>
  <c r="Y13" i="1"/>
  <c r="W15" i="5"/>
  <c r="R15" i="5"/>
  <c r="V23" i="5"/>
  <c r="V22" i="5" s="1"/>
  <c r="V16" i="5"/>
  <c r="V14" i="5"/>
  <c r="V13" i="5"/>
  <c r="V12" i="5"/>
  <c r="V19" i="5"/>
  <c r="V18" i="5"/>
  <c r="S7" i="5"/>
  <c r="P7" i="5"/>
  <c r="P9" i="5" s="1"/>
  <c r="M7" i="5"/>
  <c r="M8" i="5" s="1"/>
  <c r="N8" i="5" s="1"/>
  <c r="G8" i="5"/>
  <c r="H28" i="5" s="1"/>
  <c r="H29" i="5" s="1"/>
  <c r="J7" i="5"/>
  <c r="K7" i="5" s="1"/>
  <c r="G7" i="5"/>
  <c r="B11" i="5"/>
  <c r="L19" i="4" s="1"/>
  <c r="B5" i="2"/>
  <c r="B4" i="2"/>
  <c r="D10" i="1"/>
  <c r="D20" i="1"/>
  <c r="C20" i="1"/>
  <c r="C7" i="2" s="1"/>
  <c r="G9" i="1"/>
  <c r="G8" i="1"/>
  <c r="G7" i="1"/>
  <c r="C8" i="1"/>
  <c r="K8" i="1" s="1"/>
  <c r="C7" i="1"/>
  <c r="K7" i="1" s="1"/>
  <c r="B6" i="5" l="1"/>
  <c r="B6" i="6"/>
  <c r="C4" i="1"/>
  <c r="C4" i="2" s="1"/>
  <c r="D4" i="2" s="1"/>
  <c r="S10" i="5"/>
  <c r="T10" i="5" s="1"/>
  <c r="AA11" i="1"/>
  <c r="G17" i="4" s="1"/>
  <c r="Z13" i="1"/>
  <c r="AA13" i="1" s="1"/>
  <c r="G19" i="4" s="1"/>
  <c r="K19" i="4" s="1"/>
  <c r="T10" i="1"/>
  <c r="E10" i="1"/>
  <c r="E9" i="1" s="1"/>
  <c r="D9" i="1"/>
  <c r="AO14" i="1"/>
  <c r="AA12" i="1"/>
  <c r="G18" i="4" s="1"/>
  <c r="V11" i="5"/>
  <c r="C5" i="2"/>
  <c r="D5" i="2" s="1"/>
  <c r="V7" i="5"/>
  <c r="S9" i="5"/>
  <c r="T9" i="5" s="1"/>
  <c r="G28" i="5"/>
  <c r="G29" i="5" s="1"/>
  <c r="P8" i="5"/>
  <c r="Q8" i="5" s="1"/>
  <c r="J9" i="5"/>
  <c r="M9" i="5"/>
  <c r="N9" i="5" s="1"/>
  <c r="O9" i="5" s="1"/>
  <c r="S8" i="5"/>
  <c r="T8" i="5" s="1"/>
  <c r="J8" i="5"/>
  <c r="K8" i="5" s="1"/>
  <c r="T7" i="5"/>
  <c r="E20" i="1"/>
  <c r="L7" i="1"/>
  <c r="L8" i="1"/>
  <c r="M8" i="1" s="1"/>
  <c r="T23" i="5"/>
  <c r="U23" i="5" s="1"/>
  <c r="Q10" i="5"/>
  <c r="R10" i="5" s="1"/>
  <c r="Q9" i="5"/>
  <c r="R9" i="5" s="1"/>
  <c r="Q23" i="5"/>
  <c r="R23" i="5" s="1"/>
  <c r="N10" i="5"/>
  <c r="O10" i="5" s="1"/>
  <c r="N23" i="5"/>
  <c r="O23" i="5" s="1"/>
  <c r="K23" i="5"/>
  <c r="L31" i="4"/>
  <c r="C25" i="4"/>
  <c r="C26" i="4"/>
  <c r="L20" i="4"/>
  <c r="C20" i="4"/>
  <c r="H16" i="5"/>
  <c r="C16" i="4"/>
  <c r="H16" i="4"/>
  <c r="L23" i="5" l="1"/>
  <c r="W23" i="5"/>
  <c r="W22" i="5" s="1"/>
  <c r="G11" i="4"/>
  <c r="T22" i="1"/>
  <c r="G31" i="4"/>
  <c r="AO22" i="1"/>
  <c r="M7" i="1"/>
  <c r="V9" i="5"/>
  <c r="W8" i="5"/>
  <c r="V8" i="5"/>
  <c r="H6" i="4"/>
  <c r="L6" i="4"/>
  <c r="C6" i="4"/>
  <c r="U7" i="5"/>
  <c r="M20" i="5"/>
  <c r="U20" i="5"/>
  <c r="U19" i="5"/>
  <c r="R21" i="5"/>
  <c r="R20" i="5"/>
  <c r="R19" i="5"/>
  <c r="Q16" i="5"/>
  <c r="R16" i="5" s="1"/>
  <c r="T16" i="5"/>
  <c r="U16" i="5" s="1"/>
  <c r="O21" i="5"/>
  <c r="O19" i="5"/>
  <c r="U14" i="5"/>
  <c r="U13" i="5"/>
  <c r="U12" i="5"/>
  <c r="R14" i="5"/>
  <c r="R13" i="5"/>
  <c r="R12" i="5"/>
  <c r="O13" i="5"/>
  <c r="O12" i="5"/>
  <c r="N14" i="5"/>
  <c r="F23" i="5"/>
  <c r="F18" i="5"/>
  <c r="F14" i="5"/>
  <c r="M5" i="5"/>
  <c r="O14" i="5" l="1"/>
  <c r="W14" i="5"/>
  <c r="N20" i="5"/>
  <c r="V20" i="5"/>
  <c r="K11" i="4"/>
  <c r="J11" i="4"/>
  <c r="I6" i="4"/>
  <c r="O8" i="5"/>
  <c r="N16" i="5"/>
  <c r="O16" i="5" s="1"/>
  <c r="N7" i="5"/>
  <c r="D16" i="5"/>
  <c r="E16" i="5" s="1"/>
  <c r="L14" i="5"/>
  <c r="L13" i="5"/>
  <c r="L12" i="5"/>
  <c r="U10" i="5"/>
  <c r="U9" i="5"/>
  <c r="T18" i="5"/>
  <c r="U18" i="5" s="1"/>
  <c r="Q18" i="5"/>
  <c r="R18" i="5" s="1"/>
  <c r="N18" i="5"/>
  <c r="O18" i="5" s="1"/>
  <c r="K18" i="5"/>
  <c r="L18" i="5" s="1"/>
  <c r="H18" i="5"/>
  <c r="S21" i="5"/>
  <c r="O20" i="5"/>
  <c r="I8" i="5"/>
  <c r="I11" i="5"/>
  <c r="I14" i="5"/>
  <c r="I16" i="5"/>
  <c r="F16" i="5" s="1"/>
  <c r="I17" i="5"/>
  <c r="I19" i="5"/>
  <c r="I20" i="5"/>
  <c r="I21" i="5"/>
  <c r="I22" i="5"/>
  <c r="I23" i="5"/>
  <c r="I9" i="5"/>
  <c r="I10" i="5"/>
  <c r="J10" i="5" s="1"/>
  <c r="V10" i="5" s="1"/>
  <c r="V6" i="5" s="1"/>
  <c r="I7" i="5"/>
  <c r="G5" i="5"/>
  <c r="E10" i="5"/>
  <c r="E9" i="5"/>
  <c r="E23" i="5"/>
  <c r="D22" i="5"/>
  <c r="E22" i="5" s="1"/>
  <c r="C22" i="5"/>
  <c r="D21" i="5"/>
  <c r="E21" i="5" s="1"/>
  <c r="D20" i="5"/>
  <c r="E20" i="5" s="1"/>
  <c r="E19" i="5"/>
  <c r="D18" i="5"/>
  <c r="E18" i="5" s="1"/>
  <c r="C17" i="5"/>
  <c r="D14" i="5"/>
  <c r="E14" i="5" s="1"/>
  <c r="D13" i="5"/>
  <c r="E13" i="5" s="1"/>
  <c r="D12" i="5"/>
  <c r="E12" i="5" s="1"/>
  <c r="C11" i="5"/>
  <c r="D8" i="5"/>
  <c r="E8" i="5" s="1"/>
  <c r="C7" i="5"/>
  <c r="K21" i="1"/>
  <c r="G21" i="1"/>
  <c r="AF19" i="1"/>
  <c r="AF18" i="1"/>
  <c r="Y16" i="1"/>
  <c r="H20" i="4" s="1"/>
  <c r="E17" i="1"/>
  <c r="D18" i="1"/>
  <c r="E18" i="1" s="1"/>
  <c r="D19" i="1"/>
  <c r="E19" i="1" s="1"/>
  <c r="C15" i="1"/>
  <c r="S5" i="5" l="1"/>
  <c r="V21" i="5"/>
  <c r="I18" i="5"/>
  <c r="W18" i="5"/>
  <c r="V17" i="5"/>
  <c r="V5" i="5" s="1"/>
  <c r="H25" i="4"/>
  <c r="AF22" i="1"/>
  <c r="C6" i="2"/>
  <c r="C22" i="1"/>
  <c r="K9" i="5"/>
  <c r="F9" i="5"/>
  <c r="K10" i="5"/>
  <c r="F10" i="5"/>
  <c r="E5" i="2"/>
  <c r="AG19" i="1"/>
  <c r="H26" i="4"/>
  <c r="K16" i="5"/>
  <c r="L7" i="5"/>
  <c r="N5" i="5"/>
  <c r="K20" i="5"/>
  <c r="F20" i="5"/>
  <c r="J5" i="5"/>
  <c r="T21" i="5"/>
  <c r="U21" i="5" s="1"/>
  <c r="Q7" i="5"/>
  <c r="W7" i="5" s="1"/>
  <c r="P5" i="5"/>
  <c r="K21" i="5"/>
  <c r="F21" i="5"/>
  <c r="H12" i="5"/>
  <c r="W12" i="5" s="1"/>
  <c r="F12" i="5"/>
  <c r="H13" i="5"/>
  <c r="F13" i="5"/>
  <c r="F19" i="5"/>
  <c r="K19" i="5"/>
  <c r="O7" i="5"/>
  <c r="O5" i="5" s="1"/>
  <c r="U8" i="5"/>
  <c r="L8" i="5"/>
  <c r="D11" i="5"/>
  <c r="E11" i="5" s="1"/>
  <c r="D17" i="5"/>
  <c r="D7" i="5"/>
  <c r="D5" i="5" s="1"/>
  <c r="E5" i="5" s="1"/>
  <c r="E7" i="2"/>
  <c r="M21" i="1"/>
  <c r="AG18" i="1"/>
  <c r="Z16" i="1"/>
  <c r="L19" i="5" l="1"/>
  <c r="W19" i="5"/>
  <c r="L21" i="5"/>
  <c r="W21" i="5"/>
  <c r="L20" i="5"/>
  <c r="W20" i="5"/>
  <c r="W17" i="5"/>
  <c r="AG22" i="1"/>
  <c r="I13" i="5"/>
  <c r="W13" i="5"/>
  <c r="L16" i="5"/>
  <c r="W16" i="5"/>
  <c r="D6" i="2"/>
  <c r="C8" i="2"/>
  <c r="L10" i="5"/>
  <c r="W10" i="5"/>
  <c r="L9" i="5"/>
  <c r="W9" i="5"/>
  <c r="T5" i="5"/>
  <c r="E4" i="2"/>
  <c r="AA16" i="1"/>
  <c r="G20" i="4" s="1"/>
  <c r="J20" i="4" s="1"/>
  <c r="I20" i="4"/>
  <c r="J31" i="4"/>
  <c r="AH18" i="1"/>
  <c r="I25" i="4"/>
  <c r="AH19" i="1"/>
  <c r="G26" i="4" s="1"/>
  <c r="J26" i="4" s="1"/>
  <c r="I26" i="4"/>
  <c r="K5" i="5"/>
  <c r="U5" i="5"/>
  <c r="F8" i="5"/>
  <c r="Q5" i="5"/>
  <c r="H5" i="5"/>
  <c r="R8" i="5"/>
  <c r="I12" i="5"/>
  <c r="R7" i="5"/>
  <c r="E17" i="5"/>
  <c r="E7" i="5"/>
  <c r="G25" i="4" l="1"/>
  <c r="J25" i="4" s="1"/>
  <c r="AH22" i="1"/>
  <c r="W6" i="5"/>
  <c r="W11" i="5"/>
  <c r="I5" i="5"/>
  <c r="L5" i="5"/>
  <c r="D8" i="2"/>
  <c r="E6" i="2"/>
  <c r="E8" i="2" s="1"/>
  <c r="F5" i="2" s="1"/>
  <c r="K31" i="4"/>
  <c r="K26" i="4"/>
  <c r="K20" i="4"/>
  <c r="K25" i="4"/>
  <c r="R5" i="5"/>
  <c r="W5" i="5" l="1"/>
  <c r="W4" i="5" s="1"/>
  <c r="F6" i="2"/>
  <c r="F7" i="2"/>
  <c r="F4" i="2"/>
  <c r="F8" i="2" s="1"/>
  <c r="J19" i="4" l="1"/>
  <c r="Y6" i="1"/>
  <c r="E21" i="1"/>
  <c r="D16" i="1"/>
  <c r="D15" i="1" s="1"/>
  <c r="D7" i="1"/>
  <c r="D8" i="1"/>
  <c r="D6" i="1"/>
  <c r="E6" i="1" s="1"/>
  <c r="D5" i="1"/>
  <c r="D4" i="1" l="1"/>
  <c r="E4" i="1" s="1"/>
  <c r="Y22" i="1"/>
  <c r="D22" i="1"/>
  <c r="E7" i="1"/>
  <c r="E8" i="1"/>
  <c r="G16" i="4"/>
  <c r="I16" i="4"/>
  <c r="Z6" i="1"/>
  <c r="Z22" i="1" s="1"/>
  <c r="J17" i="4"/>
  <c r="K5" i="1"/>
  <c r="K22" i="1" s="1"/>
  <c r="E15" i="1"/>
  <c r="E16" i="1"/>
  <c r="E5" i="1"/>
  <c r="AA6" i="1" l="1"/>
  <c r="AA22" i="1" s="1"/>
  <c r="E22" i="1"/>
  <c r="F6" i="1" s="1"/>
  <c r="G6" i="4"/>
  <c r="J6" i="4" s="1"/>
  <c r="K17" i="4"/>
  <c r="K16" i="4"/>
  <c r="J16" i="4"/>
  <c r="L5" i="1"/>
  <c r="L22" i="1" s="1"/>
  <c r="K6" i="4" l="1"/>
  <c r="F14" i="1"/>
  <c r="C23" i="1"/>
  <c r="F13" i="1"/>
  <c r="F12" i="1"/>
  <c r="F11" i="1"/>
  <c r="F4" i="1"/>
  <c r="M5" i="1"/>
  <c r="M22" i="1" s="1"/>
  <c r="F17" i="1"/>
  <c r="F18" i="1"/>
  <c r="F19" i="1"/>
  <c r="F16" i="1"/>
  <c r="F20" i="1"/>
  <c r="F15" i="1"/>
  <c r="F21" i="1"/>
  <c r="F8" i="1"/>
  <c r="F10" i="1"/>
  <c r="F7" i="1"/>
  <c r="F9" i="1"/>
  <c r="C24" i="1" l="1"/>
  <c r="C25" i="1"/>
  <c r="F22" i="1"/>
  <c r="J18" i="4"/>
  <c r="K18" i="4"/>
  <c r="F7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Sanchez Maldonado, Alexandra</author>
  </authors>
  <commentList>
    <comment ref="D1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Sanchez Maldonado, Alexandra:</t>
        </r>
        <r>
          <rPr>
            <sz val="9"/>
            <color indexed="81"/>
            <rFont val="Tahoma"/>
            <family val="2"/>
          </rPr>
          <t xml:space="preserve">
Por definir por parte del MTOP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Sanchez Maldonado, Alexandra</author>
  </authors>
  <commentList>
    <comment ref="D19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Sanchez Maldonado, Alexandra:</t>
        </r>
        <r>
          <rPr>
            <sz val="9"/>
            <color indexed="81"/>
            <rFont val="Tahoma"/>
            <family val="2"/>
          </rPr>
          <t xml:space="preserve">
Por definir por parte del MTOP
</t>
        </r>
      </text>
    </comment>
  </commentList>
</comments>
</file>

<file path=xl/sharedStrings.xml><?xml version="1.0" encoding="utf-8"?>
<sst xmlns="http://schemas.openxmlformats.org/spreadsheetml/2006/main" count="324" uniqueCount="117">
  <si>
    <t xml:space="preserve">Tipo de contratación </t>
  </si>
  <si>
    <t xml:space="preserve">Presupuesto detallado </t>
  </si>
  <si>
    <t xml:space="preserve">Obras </t>
  </si>
  <si>
    <t xml:space="preserve">Bienes </t>
  </si>
  <si>
    <t>Firmas consultoras</t>
  </si>
  <si>
    <t>Consultores Individuales</t>
  </si>
  <si>
    <t xml:space="preserve">Servicios diferentes de consultoría </t>
  </si>
  <si>
    <t xml:space="preserve">Componente   </t>
  </si>
  <si>
    <t>BID</t>
  </si>
  <si>
    <t>Aporte Local</t>
  </si>
  <si>
    <t>Total</t>
  </si>
  <si>
    <t>%</t>
  </si>
  <si>
    <t xml:space="preserve">Descripción </t>
  </si>
  <si>
    <t xml:space="preserve">Precio Unitario </t>
  </si>
  <si>
    <t>Plazo/meses</t>
  </si>
  <si>
    <t xml:space="preserve">Cantidad </t>
  </si>
  <si>
    <t>Monto BID</t>
  </si>
  <si>
    <t xml:space="preserve">Monto Aporte Local </t>
  </si>
  <si>
    <t xml:space="preserve">Total </t>
  </si>
  <si>
    <t>Cantidad</t>
  </si>
  <si>
    <t xml:space="preserve"> Cantidad</t>
  </si>
  <si>
    <t xml:space="preserve">Monto </t>
  </si>
  <si>
    <t>IVA</t>
  </si>
  <si>
    <t xml:space="preserve">Componente 1.- Obras Civiles, fiscalización y auditoría de seguridad vial </t>
  </si>
  <si>
    <t xml:space="preserve">Componente 1.- Obras Civiles </t>
  </si>
  <si>
    <t xml:space="preserve">Obra de rehabilitación y construcción de variantes tramo Bellavista-Zumba-La Balsa </t>
  </si>
  <si>
    <t xml:space="preserve">Pago por planilla </t>
  </si>
  <si>
    <t>Fiscalización de la Obra de rehabilitación y construcción de variantes tramo Bellavista-Zumba-La Balsa (incluye replanteo y nivelación de la vía, y auditoría de seguridad vial)</t>
  </si>
  <si>
    <t xml:space="preserve">Fiscalización de la Obra de rehabilitación y construcción de variantes tramo Bellavista-Zumba-La Balsa </t>
  </si>
  <si>
    <t>Reajuste 2%</t>
  </si>
  <si>
    <t>Contingencias 5%</t>
  </si>
  <si>
    <t xml:space="preserve">Componente 2.- Gestión de riesgos de desastres y temas transversales </t>
  </si>
  <si>
    <t>Adquisición, instalación y mantenimiento de equipos y software para el Sistema de Alerta Temprana (SAT)</t>
  </si>
  <si>
    <t>Desarrollo de software y capacitación para la operación del SAT</t>
  </si>
  <si>
    <t>Estudio de evaluación de eficiencia y utilidad de infraestructura verde o hibrida</t>
  </si>
  <si>
    <t>Estudio de factibilidad y propuesta de diseño final de obras de mitigación en el tramo Vilcabamba - Bellavista del Eje Vial No.4</t>
  </si>
  <si>
    <t>Talleres temas transversales de género, productividad y accesibilidad universal</t>
  </si>
  <si>
    <t>Costos Administrativos</t>
  </si>
  <si>
    <t>Auditorías</t>
  </si>
  <si>
    <t xml:space="preserve">Administración </t>
  </si>
  <si>
    <t xml:space="preserve">Evaluación Intermedia </t>
  </si>
  <si>
    <t>Evaluación Intermedia</t>
  </si>
  <si>
    <t xml:space="preserve">Evaluación Final </t>
  </si>
  <si>
    <t xml:space="preserve">Otros costos </t>
  </si>
  <si>
    <t>Expropiaciones</t>
  </si>
  <si>
    <t xml:space="preserve">TOTAL </t>
  </si>
  <si>
    <t xml:space="preserve">TOTAL OBRAS </t>
  </si>
  <si>
    <t xml:space="preserve">TOTAL BIENES </t>
  </si>
  <si>
    <t>TOTAL FIRMAS CONSULTORAS</t>
  </si>
  <si>
    <t>TOTAL CONSULTORES INDIVIDUALES</t>
  </si>
  <si>
    <t>TOTAL SERVICIOS DIFERENTES DE CONSULTORÍA</t>
  </si>
  <si>
    <t xml:space="preserve">COMPROBACIÓN </t>
  </si>
  <si>
    <t xml:space="preserve">DIFERENCIA </t>
  </si>
  <si>
    <t xml:space="preserve">COMPROBACIÓN POR TIPO DE ADQUISICI[ON </t>
  </si>
  <si>
    <t>Presupuesto por componentes (Resumido)</t>
  </si>
  <si>
    <t>PLAN DE OPERACIÓN ANUAL</t>
  </si>
  <si>
    <t>Programación Año 1</t>
  </si>
  <si>
    <t>Año 1 (2020)</t>
  </si>
  <si>
    <t>Ejecución</t>
  </si>
  <si>
    <t>T1</t>
  </si>
  <si>
    <t>T2</t>
  </si>
  <si>
    <t>T3</t>
  </si>
  <si>
    <t>T4</t>
  </si>
  <si>
    <t>Meta Año 1</t>
  </si>
  <si>
    <t>Medio de Verificación</t>
  </si>
  <si>
    <t>Costo Ejecutado</t>
  </si>
  <si>
    <t>% Avance</t>
  </si>
  <si>
    <t>Responsable</t>
  </si>
  <si>
    <t xml:space="preserve">TOTALES </t>
  </si>
  <si>
    <t>Inicio de Proceso de Contratación- Inicio de Ejecución</t>
  </si>
  <si>
    <t>Inicio de ejecución</t>
  </si>
  <si>
    <t>Inicio del Proceso de Contratación</t>
  </si>
  <si>
    <t>Reajuste</t>
  </si>
  <si>
    <t>Contingencia</t>
  </si>
  <si>
    <t>Inicio de Proceso de Contratación</t>
  </si>
  <si>
    <t>Firma de acuerdos con afectados</t>
  </si>
  <si>
    <t>Acuerdos firmados</t>
  </si>
  <si>
    <t>Actividades Previas: Preparación de TdR, Pliegos, etc</t>
  </si>
  <si>
    <t>Proceso de contratación hasta firma del contrato</t>
  </si>
  <si>
    <t>Ejecución del contrato</t>
  </si>
  <si>
    <t xml:space="preserve">Año </t>
  </si>
  <si>
    <t xml:space="preserve">Total General </t>
  </si>
  <si>
    <t>PLAN DE ADQUISCIONES</t>
  </si>
  <si>
    <t>OBRAS</t>
  </si>
  <si>
    <t>Unidad Ejecutora:</t>
  </si>
  <si>
    <t>Actividad:</t>
  </si>
  <si>
    <r>
      <t xml:space="preserve">Método de Selección/Adquisición
</t>
    </r>
    <r>
      <rPr>
        <b/>
        <i/>
        <sz val="9"/>
        <rFont val="Arial"/>
        <family val="2"/>
      </rPr>
      <t>(Seleccionar una de las opciones)</t>
    </r>
    <r>
      <rPr>
        <b/>
        <sz val="9"/>
        <rFont val="Arial"/>
        <family val="2"/>
      </rPr>
      <t>:</t>
    </r>
  </si>
  <si>
    <t>Cantidad de Lotes :</t>
  </si>
  <si>
    <t>Número de Proceso:</t>
  </si>
  <si>
    <t xml:space="preserve">Monto Estimado </t>
  </si>
  <si>
    <t>Componente Asociado:</t>
  </si>
  <si>
    <r>
      <t xml:space="preserve">Método de Revisión </t>
    </r>
    <r>
      <rPr>
        <b/>
        <i/>
        <sz val="9"/>
        <rFont val="Arial"/>
        <family val="2"/>
      </rPr>
      <t>(Seleccionar una de las opciones)</t>
    </r>
    <r>
      <rPr>
        <b/>
        <sz val="9"/>
        <rFont val="Arial"/>
        <family val="2"/>
      </rPr>
      <t>:</t>
    </r>
  </si>
  <si>
    <t>Fechas</t>
  </si>
  <si>
    <t>Comentarios  método de selección</t>
  </si>
  <si>
    <t>Monto Estimado en US$:</t>
  </si>
  <si>
    <t>Monto Estimado en US$ BID</t>
  </si>
  <si>
    <t>Monto Estimado Aporte Local en US$</t>
  </si>
  <si>
    <t>Monto Estimado % BID:</t>
  </si>
  <si>
    <t>Monto Estimado % Contraparte:</t>
  </si>
  <si>
    <t>Aviso Especial de Adquisiciones</t>
  </si>
  <si>
    <t>Firma del Contrato</t>
  </si>
  <si>
    <t xml:space="preserve">MTOP </t>
  </si>
  <si>
    <t xml:space="preserve">LPI </t>
  </si>
  <si>
    <t>Por determinar</t>
  </si>
  <si>
    <t>Ex ante</t>
  </si>
  <si>
    <t xml:space="preserve">BIENES </t>
  </si>
  <si>
    <t xml:space="preserve">FIRMAS CONSULTORAS </t>
  </si>
  <si>
    <t>SBCC</t>
  </si>
  <si>
    <t xml:space="preserve">Por determinar </t>
  </si>
  <si>
    <t>SCC</t>
  </si>
  <si>
    <t>SBMC</t>
  </si>
  <si>
    <t xml:space="preserve">Ex post </t>
  </si>
  <si>
    <t xml:space="preserve">CONSULTORES INDIVIDUALES </t>
  </si>
  <si>
    <t>CCII/CCIN</t>
  </si>
  <si>
    <t xml:space="preserve">SERVICIOS DIFERENTES DE CONSULTORIA </t>
  </si>
  <si>
    <t xml:space="preserve">CP </t>
  </si>
  <si>
    <t xml:space="preserve">Reajustes y contingencias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</si>
</sst>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#,##0.0"/>
    <numFmt numFmtId="166" formatCode="_(* #,##0_);_(* \(#,##0\);_(* &quot;-&quot;??_);_(@_)"/>
    <numFmt numFmtId="167" formatCode="[$USD]\ 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u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i/>
      <sz val="9"/>
      <color theme="9"/>
      <name val="Arial"/>
      <family val="2"/>
    </font>
    <font>
      <sz val="10"/>
      <name val="Verdana"/>
      <family val="2"/>
    </font>
    <font>
      <sz val="9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3" tint="0.39985351115451523"/>
      </left>
      <right style="thin">
        <color theme="3" tint="0.39985351115451523"/>
      </right>
      <top style="thin">
        <color theme="3" tint="0.39985351115451523"/>
      </top>
      <bottom style="thin">
        <color theme="3" tint="0.39985351115451523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67" fontId="17" fillId="0" borderId="0"/>
    <xf numFmtId="0" fontId="9" fillId="0" borderId="0"/>
    <xf numFmtId="167" fontId="17" fillId="0" borderId="0"/>
  </cellStyleXfs>
  <cellXfs count="146">
    <xf numFmtId="0" fontId="0" fillId="0" borderId="0" xfId="0"/>
    <xf numFmtId="0" fontId="0" fillId="2" borderId="0" xfId="0" applyFill="1"/>
    <xf numFmtId="4" fontId="3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" fontId="2" fillId="4" borderId="1" xfId="1" applyNumberFormat="1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10" fontId="2" fillId="4" borderId="1" xfId="2" applyNumberFormat="1" applyFont="1" applyFill="1" applyBorder="1" applyAlignment="1">
      <alignment horizontal="right" vertical="center" wrapText="1"/>
    </xf>
    <xf numFmtId="10" fontId="3" fillId="0" borderId="1" xfId="2" applyNumberFormat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10" fontId="5" fillId="2" borderId="1" xfId="0" applyNumberFormat="1" applyFont="1" applyFill="1" applyBorder="1" applyAlignment="1">
      <alignment vertical="center"/>
    </xf>
    <xf numFmtId="10" fontId="6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5" fillId="5" borderId="4" xfId="0" applyNumberFormat="1" applyFont="1" applyFill="1" applyBorder="1" applyAlignment="1">
      <alignment vertical="center"/>
    </xf>
    <xf numFmtId="4" fontId="3" fillId="7" borderId="1" xfId="0" applyNumberFormat="1" applyFont="1" applyFill="1" applyBorder="1" applyAlignment="1">
      <alignment horizontal="right" vertical="center" wrapText="1"/>
    </xf>
    <xf numFmtId="4" fontId="6" fillId="5" borderId="4" xfId="0" applyNumberFormat="1" applyFont="1" applyFill="1" applyBorder="1" applyAlignment="1">
      <alignment vertical="center"/>
    </xf>
    <xf numFmtId="4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4" fontId="6" fillId="2" borderId="4" xfId="0" applyNumberFormat="1" applyFont="1" applyFill="1" applyBorder="1" applyAlignment="1">
      <alignment vertical="center"/>
    </xf>
    <xf numFmtId="10" fontId="2" fillId="7" borderId="1" xfId="2" applyNumberFormat="1" applyFont="1" applyFill="1" applyBorder="1" applyAlignment="1">
      <alignment horizontal="right" vertical="center" wrapText="1"/>
    </xf>
    <xf numFmtId="0" fontId="4" fillId="7" borderId="1" xfId="0" applyFont="1" applyFill="1" applyBorder="1" applyAlignment="1">
      <alignment horizontal="left" vertical="center" wrapText="1"/>
    </xf>
    <xf numFmtId="4" fontId="2" fillId="7" borderId="1" xfId="0" applyNumberFormat="1" applyFont="1" applyFill="1" applyBorder="1" applyAlignment="1">
      <alignment horizontal="right" vertical="center" wrapText="1"/>
    </xf>
    <xf numFmtId="4" fontId="2" fillId="7" borderId="1" xfId="1" applyNumberFormat="1" applyFont="1" applyFill="1" applyBorder="1" applyAlignment="1">
      <alignment horizontal="right" vertical="center" wrapText="1"/>
    </xf>
    <xf numFmtId="0" fontId="6" fillId="5" borderId="4" xfId="0" applyFont="1" applyFill="1" applyBorder="1" applyAlignment="1">
      <alignment vertical="center"/>
    </xf>
    <xf numFmtId="4" fontId="5" fillId="2" borderId="0" xfId="0" applyNumberFormat="1" applyFont="1" applyFill="1" applyAlignment="1">
      <alignment vertical="center"/>
    </xf>
    <xf numFmtId="4" fontId="6" fillId="6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right" vertical="center" wrapText="1"/>
    </xf>
    <xf numFmtId="10" fontId="3" fillId="2" borderId="1" xfId="2" applyNumberFormat="1" applyFont="1" applyFill="1" applyBorder="1" applyAlignment="1">
      <alignment horizontal="right" vertical="center" wrapText="1"/>
    </xf>
    <xf numFmtId="0" fontId="4" fillId="8" borderId="1" xfId="0" applyFont="1" applyFill="1" applyBorder="1" applyAlignment="1">
      <alignment horizontal="left" vertical="center" wrapText="1"/>
    </xf>
    <xf numFmtId="4" fontId="2" fillId="8" borderId="1" xfId="0" applyNumberFormat="1" applyFont="1" applyFill="1" applyBorder="1" applyAlignment="1">
      <alignment horizontal="right" vertical="center" wrapText="1"/>
    </xf>
    <xf numFmtId="4" fontId="3" fillId="8" borderId="1" xfId="0" applyNumberFormat="1" applyFont="1" applyFill="1" applyBorder="1" applyAlignment="1">
      <alignment horizontal="right" vertical="center" wrapText="1"/>
    </xf>
    <xf numFmtId="4" fontId="2" fillId="8" borderId="1" xfId="1" applyNumberFormat="1" applyFont="1" applyFill="1" applyBorder="1" applyAlignment="1">
      <alignment horizontal="right" vertical="center" wrapText="1"/>
    </xf>
    <xf numFmtId="0" fontId="11" fillId="0" borderId="1" xfId="3" applyFont="1" applyBorder="1" applyAlignment="1">
      <alignment vertical="center" wrapText="1"/>
    </xf>
    <xf numFmtId="4" fontId="11" fillId="0" borderId="1" xfId="3" applyNumberFormat="1" applyFont="1" applyBorder="1" applyAlignment="1">
      <alignment vertical="center" wrapText="1"/>
    </xf>
    <xf numFmtId="10" fontId="11" fillId="0" borderId="1" xfId="3" applyNumberFormat="1" applyFont="1" applyBorder="1" applyAlignment="1">
      <alignment vertical="center" wrapText="1"/>
    </xf>
    <xf numFmtId="4" fontId="10" fillId="9" borderId="1" xfId="3" applyNumberFormat="1" applyFont="1" applyFill="1" applyBorder="1" applyAlignment="1">
      <alignment horizontal="center" vertical="center" wrapText="1"/>
    </xf>
    <xf numFmtId="10" fontId="10" fillId="9" borderId="1" xfId="3" applyNumberFormat="1" applyFont="1" applyFill="1" applyBorder="1" applyAlignment="1">
      <alignment horizontal="center" vertical="center" wrapText="1"/>
    </xf>
    <xf numFmtId="164" fontId="10" fillId="9" borderId="1" xfId="3" applyNumberFormat="1" applyFont="1" applyFill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1" fillId="0" borderId="1" xfId="3" applyFont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11" fillId="2" borderId="0" xfId="3" applyFont="1" applyFill="1" applyAlignment="1">
      <alignment vertical="center"/>
    </xf>
    <xf numFmtId="17" fontId="5" fillId="2" borderId="1" xfId="0" applyNumberFormat="1" applyFont="1" applyFill="1" applyBorder="1" applyAlignment="1">
      <alignment horizontal="center" vertical="center"/>
    </xf>
    <xf numFmtId="10" fontId="5" fillId="2" borderId="0" xfId="0" applyNumberFormat="1" applyFont="1" applyFill="1" applyAlignment="1">
      <alignment vertical="center"/>
    </xf>
    <xf numFmtId="0" fontId="11" fillId="2" borderId="1" xfId="3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10" fontId="2" fillId="3" borderId="1" xfId="2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vertical="center"/>
    </xf>
    <xf numFmtId="4" fontId="14" fillId="9" borderId="1" xfId="0" applyNumberFormat="1" applyFont="1" applyFill="1" applyBorder="1" applyAlignment="1">
      <alignment vertical="center"/>
    </xf>
    <xf numFmtId="44" fontId="15" fillId="2" borderId="0" xfId="1" applyFont="1" applyFill="1" applyAlignment="1">
      <alignment vertical="center"/>
    </xf>
    <xf numFmtId="0" fontId="5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0" fontId="16" fillId="2" borderId="0" xfId="0" applyFont="1" applyFill="1" applyAlignment="1">
      <alignment vertical="center" wrapText="1"/>
    </xf>
    <xf numFmtId="4" fontId="16" fillId="2" borderId="0" xfId="0" applyNumberFormat="1" applyFont="1" applyFill="1" applyAlignment="1">
      <alignment vertical="center" wrapText="1"/>
    </xf>
    <xf numFmtId="4" fontId="16" fillId="2" borderId="0" xfId="0" applyNumberFormat="1" applyFont="1" applyFill="1" applyAlignment="1">
      <alignment vertical="center"/>
    </xf>
    <xf numFmtId="4" fontId="5" fillId="5" borderId="4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 vertical="center"/>
    </xf>
    <xf numFmtId="10" fontId="11" fillId="2" borderId="0" xfId="3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17" fontId="5" fillId="2" borderId="0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Fill="1" applyBorder="1" applyAlignment="1">
      <alignment vertical="center"/>
    </xf>
    <xf numFmtId="17" fontId="5" fillId="0" borderId="1" xfId="0" applyNumberFormat="1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166" fontId="18" fillId="11" borderId="0" xfId="4" applyNumberFormat="1" applyFont="1" applyFill="1" applyAlignment="1">
      <alignment horizontal="right" vertical="center" wrapText="1"/>
    </xf>
    <xf numFmtId="166" fontId="11" fillId="12" borderId="0" xfId="4" applyNumberFormat="1" applyFont="1" applyFill="1" applyAlignment="1">
      <alignment horizontal="right" vertical="center" wrapText="1"/>
    </xf>
    <xf numFmtId="166" fontId="11" fillId="13" borderId="14" xfId="4" applyNumberFormat="1" applyFont="1" applyFill="1" applyBorder="1" applyAlignment="1">
      <alignment horizontal="center" vertical="center" wrapText="1"/>
    </xf>
    <xf numFmtId="167" fontId="11" fillId="0" borderId="0" xfId="5" applyFont="1" applyAlignment="1">
      <alignment vertical="center" wrapText="1"/>
    </xf>
    <xf numFmtId="0" fontId="5" fillId="2" borderId="1" xfId="6" applyFont="1" applyFill="1" applyBorder="1" applyAlignment="1">
      <alignment horizontal="justify" vertical="center" wrapText="1"/>
    </xf>
    <xf numFmtId="3" fontId="11" fillId="2" borderId="1" xfId="7" applyNumberFormat="1" applyFont="1" applyFill="1" applyBorder="1" applyAlignment="1">
      <alignment vertical="center" wrapText="1"/>
    </xf>
    <xf numFmtId="0" fontId="5" fillId="0" borderId="1" xfId="6" applyFont="1" applyBorder="1" applyAlignment="1">
      <alignment horizontal="justify" vertical="center" wrapText="1"/>
    </xf>
    <xf numFmtId="166" fontId="18" fillId="11" borderId="1" xfId="4" applyNumberFormat="1" applyFont="1" applyFill="1" applyBorder="1" applyAlignment="1">
      <alignment horizontal="right" vertical="center" wrapText="1"/>
    </xf>
    <xf numFmtId="166" fontId="11" fillId="12" borderId="1" xfId="4" applyNumberFormat="1" applyFont="1" applyFill="1" applyBorder="1" applyAlignment="1">
      <alignment horizontal="right" vertical="center" wrapText="1"/>
    </xf>
    <xf numFmtId="166" fontId="11" fillId="13" borderId="1" xfId="4" applyNumberFormat="1" applyFont="1" applyFill="1" applyBorder="1" applyAlignment="1">
      <alignment horizontal="center" vertical="center" wrapText="1"/>
    </xf>
    <xf numFmtId="167" fontId="11" fillId="0" borderId="0" xfId="5" applyFont="1" applyAlignment="1">
      <alignment horizontal="left" vertical="center" wrapText="1"/>
    </xf>
    <xf numFmtId="0" fontId="6" fillId="10" borderId="1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7" fontId="11" fillId="0" borderId="0" xfId="5" applyFont="1" applyAlignment="1">
      <alignment horizontal="left" vertical="center" wrapText="1"/>
    </xf>
    <xf numFmtId="4" fontId="2" fillId="8" borderId="10" xfId="0" applyNumberFormat="1" applyFont="1" applyFill="1" applyBorder="1" applyAlignment="1">
      <alignment horizontal="center" vertical="center" wrapText="1"/>
    </xf>
    <xf numFmtId="4" fontId="2" fillId="8" borderId="11" xfId="0" applyNumberFormat="1" applyFont="1" applyFill="1" applyBorder="1" applyAlignment="1">
      <alignment horizontal="center" vertical="center" wrapText="1"/>
    </xf>
    <xf numFmtId="4" fontId="2" fillId="8" borderId="12" xfId="0" applyNumberFormat="1" applyFont="1" applyFill="1" applyBorder="1" applyAlignment="1">
      <alignment horizontal="center" vertical="center" wrapText="1"/>
    </xf>
    <xf numFmtId="4" fontId="2" fillId="8" borderId="13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10" fillId="10" borderId="8" xfId="3" applyFont="1" applyFill="1" applyBorder="1" applyAlignment="1">
      <alignment horizontal="left" vertical="center" wrapText="1"/>
    </xf>
    <xf numFmtId="0" fontId="10" fillId="9" borderId="1" xfId="3" applyFont="1" applyFill="1" applyBorder="1" applyAlignment="1">
      <alignment horizontal="center" vertical="center" wrapText="1"/>
    </xf>
    <xf numFmtId="0" fontId="10" fillId="9" borderId="1" xfId="3" applyFont="1" applyFill="1" applyBorder="1" applyAlignment="1">
      <alignment horizontal="center" vertical="center"/>
    </xf>
    <xf numFmtId="0" fontId="10" fillId="10" borderId="1" xfId="3" applyFont="1" applyFill="1" applyBorder="1" applyAlignment="1">
      <alignment horizontal="left" vertical="center" wrapText="1"/>
    </xf>
    <xf numFmtId="0" fontId="13" fillId="10" borderId="1" xfId="3" applyFont="1" applyFill="1" applyBorder="1" applyAlignment="1">
      <alignment horizontal="center" vertical="center"/>
    </xf>
    <xf numFmtId="0" fontId="10" fillId="10" borderId="7" xfId="3" applyFont="1" applyFill="1" applyBorder="1" applyAlignment="1">
      <alignment horizontal="left" vertical="center" wrapText="1"/>
    </xf>
    <xf numFmtId="0" fontId="10" fillId="10" borderId="9" xfId="3" applyFont="1" applyFill="1" applyBorder="1" applyAlignment="1">
      <alignment horizontal="left" vertical="center" wrapText="1"/>
    </xf>
    <xf numFmtId="0" fontId="10" fillId="9" borderId="5" xfId="3" applyFont="1" applyFill="1" applyBorder="1" applyAlignment="1">
      <alignment horizontal="center" vertical="center" wrapText="1"/>
    </xf>
    <xf numFmtId="0" fontId="10" fillId="9" borderId="6" xfId="3" applyFont="1" applyFill="1" applyBorder="1" applyAlignment="1">
      <alignment horizontal="center" vertical="center" wrapText="1"/>
    </xf>
    <xf numFmtId="3" fontId="2" fillId="4" borderId="1" xfId="1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2" fillId="7" borderId="1" xfId="0" applyNumberFormat="1" applyFont="1" applyFill="1" applyBorder="1" applyAlignment="1">
      <alignment horizontal="right" vertical="center" wrapText="1"/>
    </xf>
    <xf numFmtId="3" fontId="2" fillId="7" borderId="1" xfId="1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9" fontId="2" fillId="3" borderId="1" xfId="0" applyNumberFormat="1" applyFont="1" applyFill="1" applyBorder="1" applyAlignment="1">
      <alignment horizontal="right" vertical="center" wrapText="1"/>
    </xf>
    <xf numFmtId="3" fontId="0" fillId="2" borderId="0" xfId="0" applyNumberFormat="1" applyFill="1"/>
  </cellXfs>
  <cellStyles count="8">
    <cellStyle name="Comma 2" xfId="4" xr:uid="{00000000-0005-0000-0000-000000000000}"/>
    <cellStyle name="Currency" xfId="1" builtinId="4"/>
    <cellStyle name="Normal" xfId="0" builtinId="0"/>
    <cellStyle name="Normal 13" xfId="6" xr:uid="{00000000-0005-0000-0000-000003000000}"/>
    <cellStyle name="Normal 2" xfId="3" xr:uid="{00000000-0005-0000-0000-000004000000}"/>
    <cellStyle name="Normal 7 2" xfId="7" xr:uid="{00000000-0005-0000-0000-000005000000}"/>
    <cellStyle name="Normal 7 3" xfId="5" xr:uid="{00000000-0005-0000-0000-000006000000}"/>
    <cellStyle name="Percent" xfId="2" builtinId="5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O25"/>
  <sheetViews>
    <sheetView zoomScaleNormal="100" workbookViewId="0">
      <selection activeCell="F4" sqref="F4"/>
    </sheetView>
  </sheetViews>
  <sheetFormatPr defaultColWidth="9.140625" defaultRowHeight="12" x14ac:dyDescent="0.25"/>
  <cols>
    <col min="1" max="1" width="4.7109375" style="14" customWidth="1"/>
    <col min="2" max="2" width="52.140625" style="14" customWidth="1"/>
    <col min="3" max="3" width="15.42578125" style="14" bestFit="1" customWidth="1"/>
    <col min="4" max="4" width="15.140625" style="14" customWidth="1"/>
    <col min="5" max="5" width="15.7109375" style="14" customWidth="1"/>
    <col min="6" max="6" width="12.28515625" style="14" bestFit="1" customWidth="1"/>
    <col min="7" max="7" width="31.85546875" style="14" customWidth="1"/>
    <col min="8" max="8" width="16.140625" style="14" bestFit="1" customWidth="1"/>
    <col min="9" max="10" width="11.140625" style="14" customWidth="1"/>
    <col min="11" max="11" width="16.140625" style="14" bestFit="1" customWidth="1"/>
    <col min="12" max="12" width="12.42578125" style="14" bestFit="1" customWidth="1"/>
    <col min="13" max="13" width="15.85546875" style="15" bestFit="1" customWidth="1"/>
    <col min="14" max="14" width="30.140625" style="14" customWidth="1"/>
    <col min="15" max="15" width="14.85546875" style="14" bestFit="1" customWidth="1"/>
    <col min="16" max="17" width="12" style="14" customWidth="1"/>
    <col min="18" max="18" width="9.85546875" style="14" bestFit="1" customWidth="1"/>
    <col min="19" max="19" width="14" style="14" customWidth="1"/>
    <col min="20" max="20" width="9.85546875" style="15" bestFit="1" customWidth="1"/>
    <col min="21" max="21" width="43" style="14" customWidth="1"/>
    <col min="22" max="22" width="14.140625" style="14" customWidth="1"/>
    <col min="23" max="23" width="11.42578125" style="14" bestFit="1" customWidth="1"/>
    <col min="24" max="24" width="11.42578125" style="14" customWidth="1"/>
    <col min="25" max="25" width="13.140625" style="14" bestFit="1" customWidth="1"/>
    <col min="26" max="26" width="11.28515625" style="14" bestFit="1" customWidth="1"/>
    <col min="27" max="27" width="13.140625" style="15" bestFit="1" customWidth="1"/>
    <col min="28" max="28" width="16.5703125" style="14" bestFit="1" customWidth="1"/>
    <col min="29" max="29" width="14.42578125" style="14" bestFit="1" customWidth="1"/>
    <col min="30" max="30" width="11.140625" style="14" customWidth="1"/>
    <col min="31" max="31" width="9.42578125" style="14" bestFit="1" customWidth="1"/>
    <col min="32" max="32" width="9.7109375" style="14" customWidth="1"/>
    <col min="33" max="33" width="10.28515625" style="14" customWidth="1"/>
    <col min="34" max="34" width="8.85546875" style="14" bestFit="1" customWidth="1"/>
    <col min="35" max="35" width="19.28515625" style="14" customWidth="1"/>
    <col min="36" max="36" width="14.42578125" style="14" bestFit="1" customWidth="1"/>
    <col min="37" max="38" width="12" style="14" customWidth="1"/>
    <col min="39" max="39" width="8.85546875" style="14" bestFit="1" customWidth="1"/>
    <col min="40" max="40" width="12.7109375" style="14" customWidth="1"/>
    <col min="41" max="41" width="13.7109375" style="15" customWidth="1"/>
    <col min="42" max="16384" width="9.140625" style="14"/>
  </cols>
  <sheetData>
    <row r="1" spans="2:41" x14ac:dyDescent="0.25">
      <c r="G1" s="108" t="s">
        <v>0</v>
      </c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</row>
    <row r="2" spans="2:41" x14ac:dyDescent="0.25">
      <c r="B2" s="105" t="s">
        <v>1</v>
      </c>
      <c r="C2" s="106"/>
      <c r="D2" s="106"/>
      <c r="E2" s="106"/>
      <c r="F2" s="107"/>
      <c r="G2" s="110" t="s">
        <v>2</v>
      </c>
      <c r="H2" s="110"/>
      <c r="I2" s="110"/>
      <c r="J2" s="110"/>
      <c r="K2" s="110"/>
      <c r="L2" s="110"/>
      <c r="M2" s="110"/>
      <c r="N2" s="110" t="s">
        <v>3</v>
      </c>
      <c r="O2" s="110"/>
      <c r="P2" s="110"/>
      <c r="Q2" s="110"/>
      <c r="R2" s="110"/>
      <c r="S2" s="110"/>
      <c r="T2" s="110"/>
      <c r="U2" s="111" t="s">
        <v>4</v>
      </c>
      <c r="V2" s="112"/>
      <c r="W2" s="112"/>
      <c r="X2" s="112"/>
      <c r="Y2" s="112"/>
      <c r="Z2" s="112"/>
      <c r="AA2" s="113"/>
      <c r="AB2" s="111" t="s">
        <v>5</v>
      </c>
      <c r="AC2" s="112"/>
      <c r="AD2" s="112"/>
      <c r="AE2" s="112"/>
      <c r="AF2" s="112"/>
      <c r="AG2" s="112"/>
      <c r="AH2" s="113"/>
      <c r="AI2" s="111" t="s">
        <v>6</v>
      </c>
      <c r="AJ2" s="112"/>
      <c r="AK2" s="112"/>
      <c r="AL2" s="112"/>
      <c r="AM2" s="112"/>
      <c r="AN2" s="112"/>
      <c r="AO2" s="113"/>
    </row>
    <row r="3" spans="2:41" s="16" customFormat="1" ht="36" x14ac:dyDescent="0.25"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17" t="s">
        <v>12</v>
      </c>
      <c r="H3" s="17" t="s">
        <v>13</v>
      </c>
      <c r="I3" s="17" t="s">
        <v>14</v>
      </c>
      <c r="J3" s="17" t="s">
        <v>15</v>
      </c>
      <c r="K3" s="17" t="s">
        <v>16</v>
      </c>
      <c r="L3" s="17" t="s">
        <v>17</v>
      </c>
      <c r="M3" s="17" t="s">
        <v>18</v>
      </c>
      <c r="N3" s="17" t="s">
        <v>12</v>
      </c>
      <c r="O3" s="17" t="s">
        <v>13</v>
      </c>
      <c r="P3" s="17" t="s">
        <v>14</v>
      </c>
      <c r="Q3" s="17" t="s">
        <v>15</v>
      </c>
      <c r="R3" s="17" t="s">
        <v>16</v>
      </c>
      <c r="S3" s="17" t="s">
        <v>17</v>
      </c>
      <c r="T3" s="17" t="s">
        <v>18</v>
      </c>
      <c r="U3" s="17" t="s">
        <v>12</v>
      </c>
      <c r="V3" s="17" t="s">
        <v>13</v>
      </c>
      <c r="W3" s="17" t="s">
        <v>14</v>
      </c>
      <c r="X3" s="17" t="s">
        <v>15</v>
      </c>
      <c r="Y3" s="17" t="s">
        <v>16</v>
      </c>
      <c r="Z3" s="17" t="s">
        <v>17</v>
      </c>
      <c r="AA3" s="17" t="s">
        <v>18</v>
      </c>
      <c r="AB3" s="17" t="s">
        <v>12</v>
      </c>
      <c r="AC3" s="17" t="s">
        <v>13</v>
      </c>
      <c r="AD3" s="17" t="s">
        <v>14</v>
      </c>
      <c r="AE3" s="17" t="s">
        <v>19</v>
      </c>
      <c r="AF3" s="17" t="s">
        <v>16</v>
      </c>
      <c r="AG3" s="17" t="s">
        <v>17</v>
      </c>
      <c r="AH3" s="17" t="s">
        <v>18</v>
      </c>
      <c r="AI3" s="17" t="s">
        <v>12</v>
      </c>
      <c r="AJ3" s="17" t="s">
        <v>13</v>
      </c>
      <c r="AK3" s="17" t="s">
        <v>14</v>
      </c>
      <c r="AL3" s="17" t="s">
        <v>20</v>
      </c>
      <c r="AM3" s="17" t="s">
        <v>21</v>
      </c>
      <c r="AN3" s="17" t="s">
        <v>22</v>
      </c>
      <c r="AO3" s="17" t="s">
        <v>18</v>
      </c>
    </row>
    <row r="4" spans="2:41" ht="24" x14ac:dyDescent="0.25">
      <c r="B4" s="6" t="s">
        <v>23</v>
      </c>
      <c r="C4" s="8">
        <f>SUM(C5:C8)</f>
        <v>125775000</v>
      </c>
      <c r="D4" s="7">
        <f>SUM(D5:D8)</f>
        <v>15093000</v>
      </c>
      <c r="E4" s="7">
        <f>+C4+D4</f>
        <v>140868000</v>
      </c>
      <c r="F4" s="11">
        <f>E4/E22</f>
        <v>0.97295281246546583</v>
      </c>
      <c r="G4" s="114" t="s">
        <v>24</v>
      </c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6"/>
    </row>
    <row r="5" spans="2:41" ht="36" x14ac:dyDescent="0.25">
      <c r="B5" s="4" t="s">
        <v>25</v>
      </c>
      <c r="C5" s="2">
        <v>107500000</v>
      </c>
      <c r="D5" s="2">
        <f>+C5*12%</f>
        <v>12900000</v>
      </c>
      <c r="E5" s="2">
        <f>+C5+D5</f>
        <v>120400000</v>
      </c>
      <c r="F5" s="12">
        <f>+E5/E$22</f>
        <v>0.83158360039783397</v>
      </c>
      <c r="G5" s="4" t="s">
        <v>25</v>
      </c>
      <c r="H5" s="27" t="s">
        <v>26</v>
      </c>
      <c r="I5" s="26">
        <v>30</v>
      </c>
      <c r="J5" s="26">
        <v>1</v>
      </c>
      <c r="K5" s="2">
        <f>+C5</f>
        <v>107500000</v>
      </c>
      <c r="L5" s="2">
        <f>+K5*12%</f>
        <v>12900000</v>
      </c>
      <c r="M5" s="3">
        <f>+K5+L5</f>
        <v>120400000</v>
      </c>
      <c r="N5" s="18"/>
      <c r="O5" s="18"/>
      <c r="P5" s="18"/>
      <c r="Q5" s="18"/>
      <c r="R5" s="18"/>
      <c r="S5" s="18"/>
      <c r="T5" s="38"/>
      <c r="U5" s="19"/>
      <c r="V5" s="19"/>
      <c r="W5" s="19"/>
      <c r="X5" s="19"/>
      <c r="Y5" s="19"/>
      <c r="Z5" s="19"/>
      <c r="AA5" s="20"/>
      <c r="AB5" s="21"/>
      <c r="AC5" s="21"/>
      <c r="AD5" s="21"/>
      <c r="AE5" s="21"/>
      <c r="AF5" s="21"/>
      <c r="AG5" s="21"/>
      <c r="AH5" s="21"/>
      <c r="AI5" s="19"/>
      <c r="AJ5" s="19"/>
      <c r="AK5" s="19"/>
      <c r="AL5" s="19"/>
      <c r="AM5" s="19"/>
      <c r="AN5" s="19"/>
      <c r="AO5" s="20"/>
    </row>
    <row r="6" spans="2:41" ht="48" customHeight="1" x14ac:dyDescent="0.25">
      <c r="B6" s="4" t="s">
        <v>27</v>
      </c>
      <c r="C6" s="2">
        <f>C5*5%</f>
        <v>5375000</v>
      </c>
      <c r="D6" s="2">
        <f>+C6*12%</f>
        <v>645000</v>
      </c>
      <c r="E6" s="2">
        <f>+C6+D6</f>
        <v>6020000</v>
      </c>
      <c r="F6" s="12">
        <f>+E6/E$22</f>
        <v>4.15791800198917E-2</v>
      </c>
      <c r="G6" s="19"/>
      <c r="H6" s="19"/>
      <c r="I6" s="41"/>
      <c r="J6" s="19"/>
      <c r="K6" s="19"/>
      <c r="L6" s="19"/>
      <c r="M6" s="20"/>
      <c r="N6" s="18"/>
      <c r="O6" s="18"/>
      <c r="P6" s="18"/>
      <c r="Q6" s="18"/>
      <c r="R6" s="18"/>
      <c r="S6" s="18"/>
      <c r="T6" s="38"/>
      <c r="U6" s="4" t="s">
        <v>28</v>
      </c>
      <c r="V6" s="26" t="s">
        <v>26</v>
      </c>
      <c r="W6" s="19">
        <v>36</v>
      </c>
      <c r="X6" s="19">
        <v>1</v>
      </c>
      <c r="Y6" s="22">
        <f>+C6</f>
        <v>5375000</v>
      </c>
      <c r="Z6" s="22">
        <f>+Y6*12%</f>
        <v>645000</v>
      </c>
      <c r="AA6" s="23">
        <f>+Y6+Z6</f>
        <v>6020000</v>
      </c>
      <c r="AB6" s="21"/>
      <c r="AC6" s="21"/>
      <c r="AD6" s="21"/>
      <c r="AE6" s="21"/>
      <c r="AF6" s="21"/>
      <c r="AG6" s="21"/>
      <c r="AH6" s="21"/>
      <c r="AI6" s="19"/>
      <c r="AJ6" s="19"/>
      <c r="AK6" s="19"/>
      <c r="AL6" s="19"/>
      <c r="AM6" s="19"/>
      <c r="AN6" s="19"/>
      <c r="AO6" s="20"/>
    </row>
    <row r="7" spans="2:41" x14ac:dyDescent="0.25">
      <c r="B7" s="4" t="s">
        <v>29</v>
      </c>
      <c r="C7" s="2">
        <f>C5*2%</f>
        <v>2150000</v>
      </c>
      <c r="D7" s="2">
        <f t="shared" ref="D7:D8" si="0">+C7*12%</f>
        <v>258000</v>
      </c>
      <c r="E7" s="2">
        <f t="shared" ref="E7:E8" si="1">+C7+D7</f>
        <v>2408000</v>
      </c>
      <c r="F7" s="12">
        <f>+E7/E$22</f>
        <v>1.6631672007956681E-2</v>
      </c>
      <c r="G7" s="19" t="str">
        <f>B7</f>
        <v>Reajuste 2%</v>
      </c>
      <c r="H7" s="19" t="s">
        <v>26</v>
      </c>
      <c r="I7" s="41">
        <v>30</v>
      </c>
      <c r="J7" s="41">
        <v>1</v>
      </c>
      <c r="K7" s="22">
        <f>C7</f>
        <v>2150000</v>
      </c>
      <c r="L7" s="22">
        <f>K7*12%</f>
        <v>258000</v>
      </c>
      <c r="M7" s="23">
        <f>K7+L7</f>
        <v>2408000</v>
      </c>
      <c r="N7" s="18"/>
      <c r="O7" s="18"/>
      <c r="P7" s="18"/>
      <c r="Q7" s="18"/>
      <c r="R7" s="18"/>
      <c r="S7" s="18"/>
      <c r="T7" s="38"/>
      <c r="U7" s="4"/>
      <c r="V7" s="22"/>
      <c r="W7" s="19"/>
      <c r="X7" s="19"/>
      <c r="Y7" s="22"/>
      <c r="Z7" s="22"/>
      <c r="AA7" s="23"/>
      <c r="AB7" s="21"/>
      <c r="AC7" s="21"/>
      <c r="AD7" s="21"/>
      <c r="AE7" s="21"/>
      <c r="AF7" s="21"/>
      <c r="AG7" s="21"/>
      <c r="AH7" s="21"/>
      <c r="AI7" s="19"/>
      <c r="AJ7" s="19"/>
      <c r="AK7" s="19"/>
      <c r="AL7" s="19"/>
      <c r="AM7" s="19"/>
      <c r="AN7" s="19"/>
      <c r="AO7" s="20"/>
    </row>
    <row r="8" spans="2:41" x14ac:dyDescent="0.25">
      <c r="B8" s="4" t="s">
        <v>30</v>
      </c>
      <c r="C8" s="2">
        <f>C5*10%</f>
        <v>10750000</v>
      </c>
      <c r="D8" s="2">
        <f t="shared" si="0"/>
        <v>1290000</v>
      </c>
      <c r="E8" s="2">
        <f t="shared" si="1"/>
        <v>12040000</v>
      </c>
      <c r="F8" s="12">
        <f>+E8/E$22</f>
        <v>8.3158360039783399E-2</v>
      </c>
      <c r="G8" s="19" t="str">
        <f>B8</f>
        <v>Contingencias 5%</v>
      </c>
      <c r="H8" s="19"/>
      <c r="I8" s="41">
        <v>30</v>
      </c>
      <c r="J8" s="41">
        <v>1</v>
      </c>
      <c r="K8" s="22">
        <f>C8</f>
        <v>10750000</v>
      </c>
      <c r="L8" s="22">
        <f>K8*12%</f>
        <v>1290000</v>
      </c>
      <c r="M8" s="23">
        <f>K8+L8</f>
        <v>12040000</v>
      </c>
      <c r="N8" s="18"/>
      <c r="O8" s="18"/>
      <c r="P8" s="18"/>
      <c r="Q8" s="18"/>
      <c r="R8" s="18"/>
      <c r="S8" s="18"/>
      <c r="T8" s="38"/>
      <c r="U8" s="4"/>
      <c r="V8" s="22"/>
      <c r="W8" s="19"/>
      <c r="X8" s="19"/>
      <c r="Y8" s="22"/>
      <c r="Z8" s="22"/>
      <c r="AA8" s="23"/>
      <c r="AB8" s="21"/>
      <c r="AC8" s="21"/>
      <c r="AD8" s="21"/>
      <c r="AE8" s="21"/>
      <c r="AF8" s="21"/>
      <c r="AG8" s="21"/>
      <c r="AH8" s="21"/>
      <c r="AI8" s="19"/>
      <c r="AJ8" s="19"/>
      <c r="AK8" s="19"/>
      <c r="AL8" s="19"/>
      <c r="AM8" s="19"/>
      <c r="AN8" s="19"/>
      <c r="AO8" s="20"/>
    </row>
    <row r="9" spans="2:41" ht="24" x14ac:dyDescent="0.25">
      <c r="B9" s="6" t="s">
        <v>31</v>
      </c>
      <c r="C9" s="8">
        <f>SUM(C10:C14)</f>
        <v>2175000</v>
      </c>
      <c r="D9" s="8">
        <f t="shared" ref="D9:E9" si="2">SUM(D10:D14)</f>
        <v>261000</v>
      </c>
      <c r="E9" s="8">
        <f t="shared" si="2"/>
        <v>2436000</v>
      </c>
      <c r="F9" s="11">
        <f>+E9/E22</f>
        <v>1.6825063542932922E-2</v>
      </c>
      <c r="G9" s="114" t="str">
        <f>B9</f>
        <v xml:space="preserve">Componente 2.- Gestión de riesgos de desastres y temas transversales </v>
      </c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6"/>
    </row>
    <row r="10" spans="2:41" ht="48" x14ac:dyDescent="0.25">
      <c r="B10" s="4" t="s">
        <v>32</v>
      </c>
      <c r="C10" s="2">
        <v>200000</v>
      </c>
      <c r="D10" s="2">
        <f>C10*12%</f>
        <v>24000</v>
      </c>
      <c r="E10" s="2">
        <f>C10+D10</f>
        <v>224000</v>
      </c>
      <c r="F10" s="12">
        <f>+E10/E$22</f>
        <v>1.5471322798099238E-3</v>
      </c>
      <c r="G10" s="24"/>
      <c r="H10" s="24"/>
      <c r="I10" s="24"/>
      <c r="J10" s="24"/>
      <c r="K10" s="24"/>
      <c r="L10" s="24"/>
      <c r="M10" s="25"/>
      <c r="N10" s="77" t="str">
        <f>B10</f>
        <v>Adquisición, instalación y mantenimiento de equipos y software para el Sistema de Alerta Temprana (SAT)</v>
      </c>
      <c r="O10" s="28">
        <f>C10</f>
        <v>200000</v>
      </c>
      <c r="P10" s="18">
        <v>9</v>
      </c>
      <c r="Q10" s="18">
        <v>1</v>
      </c>
      <c r="R10" s="28">
        <f>O10</f>
        <v>200000</v>
      </c>
      <c r="S10" s="28">
        <f>R10*12%</f>
        <v>24000</v>
      </c>
      <c r="T10" s="30">
        <f>R10+S10</f>
        <v>224000</v>
      </c>
      <c r="U10" s="4"/>
      <c r="V10" s="19"/>
      <c r="W10" s="19"/>
      <c r="X10" s="19"/>
      <c r="Y10" s="22"/>
      <c r="Z10" s="22"/>
      <c r="AA10" s="23"/>
      <c r="AB10" s="21"/>
      <c r="AC10" s="21"/>
      <c r="AD10" s="21"/>
      <c r="AE10" s="21"/>
      <c r="AF10" s="21"/>
      <c r="AG10" s="21"/>
      <c r="AH10" s="21"/>
      <c r="AI10" s="19"/>
      <c r="AJ10" s="19"/>
      <c r="AK10" s="19"/>
      <c r="AL10" s="19"/>
      <c r="AM10" s="19"/>
      <c r="AN10" s="19"/>
      <c r="AO10" s="20"/>
    </row>
    <row r="11" spans="2:41" ht="24" x14ac:dyDescent="0.25">
      <c r="B11" s="4" t="s">
        <v>33</v>
      </c>
      <c r="C11" s="2">
        <v>300000</v>
      </c>
      <c r="D11" s="2">
        <f t="shared" ref="D11:D14" si="3">C11*12%</f>
        <v>36000</v>
      </c>
      <c r="E11" s="2">
        <f t="shared" ref="E11:E14" si="4">C11+D11</f>
        <v>336000</v>
      </c>
      <c r="F11" s="12">
        <f>+E11/E$22</f>
        <v>2.3206984197148856E-3</v>
      </c>
      <c r="G11" s="24"/>
      <c r="H11" s="24"/>
      <c r="I11" s="24"/>
      <c r="J11" s="24"/>
      <c r="K11" s="24"/>
      <c r="L11" s="24"/>
      <c r="M11" s="25"/>
      <c r="N11" s="18"/>
      <c r="O11" s="18"/>
      <c r="P11" s="18"/>
      <c r="Q11" s="18"/>
      <c r="R11" s="18"/>
      <c r="S11" s="18"/>
      <c r="T11" s="38"/>
      <c r="U11" s="4" t="str">
        <f t="shared" ref="U11:V13" si="5">B11</f>
        <v>Desarrollo de software y capacitación para la operación del SAT</v>
      </c>
      <c r="V11" s="22">
        <f t="shared" si="5"/>
        <v>300000</v>
      </c>
      <c r="W11" s="19">
        <v>9</v>
      </c>
      <c r="X11" s="19">
        <v>1</v>
      </c>
      <c r="Y11" s="22">
        <f>V11</f>
        <v>300000</v>
      </c>
      <c r="Z11" s="22">
        <f t="shared" ref="Z11:Z13" si="6">+Y11*12%</f>
        <v>36000</v>
      </c>
      <c r="AA11" s="23">
        <f t="shared" ref="AA11:AA13" si="7">+Y11+Z11</f>
        <v>336000</v>
      </c>
      <c r="AB11" s="21"/>
      <c r="AC11" s="21"/>
      <c r="AD11" s="21"/>
      <c r="AE11" s="21"/>
      <c r="AF11" s="21"/>
      <c r="AG11" s="21"/>
      <c r="AH11" s="21"/>
      <c r="AI11" s="19"/>
      <c r="AJ11" s="19"/>
      <c r="AK11" s="19"/>
      <c r="AL11" s="19"/>
      <c r="AM11" s="19"/>
      <c r="AN11" s="19"/>
      <c r="AO11" s="20"/>
    </row>
    <row r="12" spans="2:41" ht="24" x14ac:dyDescent="0.25">
      <c r="B12" s="4" t="s">
        <v>34</v>
      </c>
      <c r="C12" s="2">
        <v>800000</v>
      </c>
      <c r="D12" s="2">
        <f t="shared" si="3"/>
        <v>96000</v>
      </c>
      <c r="E12" s="2">
        <f t="shared" si="4"/>
        <v>896000</v>
      </c>
      <c r="F12" s="12">
        <f>+E12/E$22</f>
        <v>6.1885291192396953E-3</v>
      </c>
      <c r="G12" s="24"/>
      <c r="H12" s="24"/>
      <c r="I12" s="24"/>
      <c r="J12" s="24"/>
      <c r="K12" s="24"/>
      <c r="L12" s="24"/>
      <c r="M12" s="25"/>
      <c r="N12" s="18"/>
      <c r="O12" s="18"/>
      <c r="P12" s="18"/>
      <c r="Q12" s="18"/>
      <c r="R12" s="18"/>
      <c r="S12" s="18"/>
      <c r="T12" s="38"/>
      <c r="U12" s="4" t="str">
        <f t="shared" si="5"/>
        <v>Estudio de evaluación de eficiencia y utilidad de infraestructura verde o hibrida</v>
      </c>
      <c r="V12" s="22">
        <f t="shared" si="5"/>
        <v>800000</v>
      </c>
      <c r="W12" s="19">
        <v>9</v>
      </c>
      <c r="X12" s="19">
        <v>1</v>
      </c>
      <c r="Y12" s="22">
        <f t="shared" ref="Y12:Y13" si="8">V12</f>
        <v>800000</v>
      </c>
      <c r="Z12" s="22">
        <f t="shared" si="6"/>
        <v>96000</v>
      </c>
      <c r="AA12" s="23">
        <f t="shared" si="7"/>
        <v>896000</v>
      </c>
      <c r="AB12" s="21"/>
      <c r="AC12" s="21"/>
      <c r="AD12" s="21"/>
      <c r="AE12" s="21"/>
      <c r="AF12" s="21"/>
      <c r="AG12" s="21"/>
      <c r="AH12" s="21"/>
      <c r="AI12" s="19"/>
      <c r="AJ12" s="19"/>
      <c r="AK12" s="19"/>
      <c r="AL12" s="19"/>
      <c r="AM12" s="19"/>
      <c r="AN12" s="19"/>
      <c r="AO12" s="20"/>
    </row>
    <row r="13" spans="2:41" ht="36" x14ac:dyDescent="0.25">
      <c r="B13" s="4" t="s">
        <v>35</v>
      </c>
      <c r="C13" s="2">
        <v>700000</v>
      </c>
      <c r="D13" s="2">
        <f t="shared" si="3"/>
        <v>84000</v>
      </c>
      <c r="E13" s="2">
        <f t="shared" si="4"/>
        <v>784000</v>
      </c>
      <c r="F13" s="12">
        <f>+E13/E$22</f>
        <v>5.4149629793347328E-3</v>
      </c>
      <c r="G13" s="24"/>
      <c r="H13" s="24"/>
      <c r="I13" s="24"/>
      <c r="J13" s="24"/>
      <c r="K13" s="24"/>
      <c r="L13" s="24"/>
      <c r="M13" s="25"/>
      <c r="N13" s="18"/>
      <c r="O13" s="18"/>
      <c r="P13" s="18"/>
      <c r="Q13" s="18"/>
      <c r="R13" s="18"/>
      <c r="S13" s="18"/>
      <c r="T13" s="38"/>
      <c r="U13" s="4" t="str">
        <f t="shared" si="5"/>
        <v>Estudio de factibilidad y propuesta de diseño final de obras de mitigación en el tramo Vilcabamba - Bellavista del Eje Vial No.4</v>
      </c>
      <c r="V13" s="22">
        <f t="shared" si="5"/>
        <v>700000</v>
      </c>
      <c r="W13" s="19">
        <v>6</v>
      </c>
      <c r="X13" s="19">
        <v>1</v>
      </c>
      <c r="Y13" s="22">
        <f t="shared" si="8"/>
        <v>700000</v>
      </c>
      <c r="Z13" s="22">
        <f t="shared" si="6"/>
        <v>84000</v>
      </c>
      <c r="AA13" s="23">
        <f t="shared" si="7"/>
        <v>784000</v>
      </c>
      <c r="AB13" s="21"/>
      <c r="AC13" s="21"/>
      <c r="AD13" s="21"/>
      <c r="AE13" s="21"/>
      <c r="AF13" s="21"/>
      <c r="AG13" s="21"/>
      <c r="AH13" s="21"/>
      <c r="AI13" s="19"/>
      <c r="AJ13" s="19"/>
      <c r="AK13" s="19"/>
      <c r="AL13" s="19"/>
      <c r="AM13" s="19"/>
      <c r="AN13" s="19"/>
      <c r="AO13" s="20"/>
    </row>
    <row r="14" spans="2:41" ht="48" x14ac:dyDescent="0.25">
      <c r="B14" s="4" t="s">
        <v>36</v>
      </c>
      <c r="C14" s="2">
        <v>175000</v>
      </c>
      <c r="D14" s="2">
        <f t="shared" si="3"/>
        <v>21000</v>
      </c>
      <c r="E14" s="2">
        <f t="shared" si="4"/>
        <v>196000</v>
      </c>
      <c r="F14" s="12">
        <f>+E14/E$22</f>
        <v>1.3537407448336832E-3</v>
      </c>
      <c r="G14" s="24"/>
      <c r="H14" s="24"/>
      <c r="I14" s="24"/>
      <c r="J14" s="24"/>
      <c r="K14" s="24"/>
      <c r="L14" s="24"/>
      <c r="M14" s="25"/>
      <c r="N14" s="71"/>
      <c r="O14" s="71"/>
      <c r="P14" s="71"/>
      <c r="Q14" s="71"/>
      <c r="R14" s="71"/>
      <c r="S14" s="71"/>
      <c r="T14" s="72"/>
      <c r="U14" s="4"/>
      <c r="V14" s="19"/>
      <c r="W14" s="19"/>
      <c r="X14" s="19"/>
      <c r="Y14" s="22"/>
      <c r="Z14" s="22"/>
      <c r="AA14" s="23"/>
      <c r="AB14" s="21"/>
      <c r="AC14" s="21"/>
      <c r="AD14" s="21"/>
      <c r="AE14" s="21"/>
      <c r="AF14" s="21"/>
      <c r="AG14" s="21"/>
      <c r="AH14" s="21"/>
      <c r="AI14" s="63" t="str">
        <f>B14</f>
        <v>Talleres temas transversales de género, productividad y accesibilidad universal</v>
      </c>
      <c r="AJ14" s="22">
        <f>C14/5</f>
        <v>35000</v>
      </c>
      <c r="AK14" s="19">
        <v>3</v>
      </c>
      <c r="AL14" s="19">
        <v>5</v>
      </c>
      <c r="AM14" s="22">
        <f>AJ14*AL14</f>
        <v>175000</v>
      </c>
      <c r="AN14" s="22">
        <f>AM14*12%</f>
        <v>21000</v>
      </c>
      <c r="AO14" s="23">
        <f>AM14+AN14</f>
        <v>196000</v>
      </c>
    </row>
    <row r="15" spans="2:41" x14ac:dyDescent="0.25">
      <c r="B15" s="35" t="s">
        <v>37</v>
      </c>
      <c r="C15" s="36">
        <f>+C16+C18+C19</f>
        <v>250000</v>
      </c>
      <c r="D15" s="36">
        <f>+D16+D18+D19</f>
        <v>30000</v>
      </c>
      <c r="E15" s="37">
        <f>+C15+D15</f>
        <v>280000</v>
      </c>
      <c r="F15" s="34">
        <f>+E15/E22</f>
        <v>1.9339153497624046E-3</v>
      </c>
      <c r="G15" s="114" t="s">
        <v>37</v>
      </c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6"/>
    </row>
    <row r="16" spans="2:41" x14ac:dyDescent="0.25">
      <c r="B16" s="4" t="s">
        <v>38</v>
      </c>
      <c r="C16" s="2">
        <v>100000</v>
      </c>
      <c r="D16" s="2">
        <f>+C16*12%</f>
        <v>12000</v>
      </c>
      <c r="E16" s="10">
        <f>+C16+D16</f>
        <v>112000</v>
      </c>
      <c r="F16" s="12">
        <f>+E16/E$22</f>
        <v>7.7356613990496191E-4</v>
      </c>
      <c r="G16" s="19"/>
      <c r="H16" s="19"/>
      <c r="I16" s="19"/>
      <c r="J16" s="19"/>
      <c r="K16" s="19"/>
      <c r="L16" s="19"/>
      <c r="M16" s="20"/>
      <c r="N16" s="28"/>
      <c r="O16" s="29"/>
      <c r="P16" s="18"/>
      <c r="Q16" s="18"/>
      <c r="R16" s="29"/>
      <c r="S16" s="29"/>
      <c r="T16" s="30"/>
      <c r="U16" s="31" t="s">
        <v>38</v>
      </c>
      <c r="V16" s="10">
        <v>20000</v>
      </c>
      <c r="W16" s="32">
        <v>1</v>
      </c>
      <c r="X16" s="32">
        <v>5</v>
      </c>
      <c r="Y16" s="10">
        <f>+V16*X16</f>
        <v>100000</v>
      </c>
      <c r="Z16" s="10">
        <f>+Y16*12%</f>
        <v>12000</v>
      </c>
      <c r="AA16" s="33">
        <f>+Y16+Z16</f>
        <v>112000</v>
      </c>
      <c r="AB16" s="21"/>
      <c r="AC16" s="21"/>
      <c r="AD16" s="21"/>
      <c r="AE16" s="21"/>
      <c r="AF16" s="21"/>
      <c r="AG16" s="21"/>
      <c r="AH16" s="21"/>
      <c r="AI16" s="19"/>
      <c r="AJ16" s="19"/>
      <c r="AK16" s="19"/>
      <c r="AL16" s="19"/>
      <c r="AM16" s="19"/>
      <c r="AN16" s="19"/>
      <c r="AO16" s="20"/>
    </row>
    <row r="17" spans="2:41" hidden="1" x14ac:dyDescent="0.25">
      <c r="B17" s="4" t="s">
        <v>39</v>
      </c>
      <c r="C17" s="2"/>
      <c r="D17" s="10"/>
      <c r="E17" s="10">
        <f t="shared" ref="E17:E19" si="9">+C17+D17</f>
        <v>0</v>
      </c>
      <c r="F17" s="12">
        <f>+E17/E$22</f>
        <v>0</v>
      </c>
      <c r="G17" s="19"/>
      <c r="H17" s="19"/>
      <c r="I17" s="19"/>
      <c r="J17" s="19"/>
      <c r="K17" s="19"/>
      <c r="L17" s="19"/>
      <c r="M17" s="20"/>
      <c r="N17" s="18"/>
      <c r="O17" s="18"/>
      <c r="P17" s="18"/>
      <c r="Q17" s="18"/>
      <c r="R17" s="18"/>
      <c r="S17" s="18"/>
      <c r="T17" s="38"/>
      <c r="U17" s="19"/>
      <c r="V17" s="19"/>
      <c r="W17" s="19"/>
      <c r="X17" s="19"/>
      <c r="Y17" s="19"/>
      <c r="Z17" s="19"/>
      <c r="AA17" s="20"/>
      <c r="AB17" s="21"/>
      <c r="AC17" s="21"/>
      <c r="AD17" s="21"/>
      <c r="AE17" s="21"/>
      <c r="AF17" s="21"/>
      <c r="AG17" s="21"/>
      <c r="AH17" s="21"/>
      <c r="AI17" s="19"/>
      <c r="AJ17" s="19"/>
      <c r="AK17" s="19"/>
      <c r="AL17" s="19"/>
      <c r="AM17" s="19"/>
      <c r="AN17" s="19"/>
      <c r="AO17" s="20"/>
    </row>
    <row r="18" spans="2:41" x14ac:dyDescent="0.25">
      <c r="B18" s="4" t="s">
        <v>40</v>
      </c>
      <c r="C18" s="2">
        <v>75000</v>
      </c>
      <c r="D18" s="2">
        <f>+C18*12%</f>
        <v>9000</v>
      </c>
      <c r="E18" s="10">
        <f t="shared" si="9"/>
        <v>84000</v>
      </c>
      <c r="F18" s="12">
        <f>+E18/E$22</f>
        <v>5.8017460492872141E-4</v>
      </c>
      <c r="G18" s="19"/>
      <c r="H18" s="19"/>
      <c r="I18" s="19"/>
      <c r="J18" s="19"/>
      <c r="K18" s="19"/>
      <c r="L18" s="19"/>
      <c r="M18" s="20"/>
      <c r="N18" s="18"/>
      <c r="O18" s="18"/>
      <c r="P18" s="18"/>
      <c r="Q18" s="18"/>
      <c r="R18" s="18"/>
      <c r="S18" s="18"/>
      <c r="T18" s="38"/>
      <c r="U18" s="19"/>
      <c r="V18" s="19"/>
      <c r="W18" s="19"/>
      <c r="X18" s="19"/>
      <c r="Y18" s="19"/>
      <c r="Z18" s="19"/>
      <c r="AA18" s="19"/>
      <c r="AB18" s="21" t="s">
        <v>41</v>
      </c>
      <c r="AC18" s="29">
        <v>75000</v>
      </c>
      <c r="AD18" s="21">
        <v>3</v>
      </c>
      <c r="AE18" s="21">
        <v>1</v>
      </c>
      <c r="AF18" s="29">
        <f>AC18*AE18</f>
        <v>75000</v>
      </c>
      <c r="AG18" s="29">
        <f>AF18*12%</f>
        <v>9000</v>
      </c>
      <c r="AH18" s="73">
        <f>AF18+AG18</f>
        <v>84000</v>
      </c>
      <c r="AI18" s="19"/>
      <c r="AJ18" s="19"/>
      <c r="AK18" s="19"/>
      <c r="AL18" s="19"/>
      <c r="AM18" s="19"/>
      <c r="AN18" s="19"/>
      <c r="AO18" s="20"/>
    </row>
    <row r="19" spans="2:41" x14ac:dyDescent="0.25">
      <c r="B19" s="4" t="s">
        <v>42</v>
      </c>
      <c r="C19" s="2">
        <v>75000</v>
      </c>
      <c r="D19" s="2">
        <f>+C19*12%</f>
        <v>9000</v>
      </c>
      <c r="E19" s="10">
        <f t="shared" si="9"/>
        <v>84000</v>
      </c>
      <c r="F19" s="12">
        <f>+E19/E$22</f>
        <v>5.8017460492872141E-4</v>
      </c>
      <c r="G19" s="19"/>
      <c r="H19" s="19"/>
      <c r="I19" s="19"/>
      <c r="J19" s="19"/>
      <c r="K19" s="19"/>
      <c r="L19" s="19"/>
      <c r="M19" s="20"/>
      <c r="N19" s="18"/>
      <c r="O19" s="18"/>
      <c r="P19" s="18"/>
      <c r="Q19" s="18"/>
      <c r="R19" s="18"/>
      <c r="S19" s="18"/>
      <c r="T19" s="38"/>
      <c r="U19" s="19"/>
      <c r="V19" s="19"/>
      <c r="W19" s="19"/>
      <c r="X19" s="19"/>
      <c r="Y19" s="19"/>
      <c r="Z19" s="19"/>
      <c r="AA19" s="19"/>
      <c r="AB19" s="21" t="s">
        <v>42</v>
      </c>
      <c r="AC19" s="29">
        <v>75000</v>
      </c>
      <c r="AD19" s="21">
        <v>3</v>
      </c>
      <c r="AE19" s="21">
        <v>1</v>
      </c>
      <c r="AF19" s="29">
        <f>AC19*AE19</f>
        <v>75000</v>
      </c>
      <c r="AG19" s="29">
        <f>AF19*12%</f>
        <v>9000</v>
      </c>
      <c r="AH19" s="73">
        <f>AF19+AG19</f>
        <v>84000</v>
      </c>
      <c r="AI19" s="19"/>
      <c r="AJ19" s="19"/>
      <c r="AK19" s="19"/>
      <c r="AL19" s="19"/>
      <c r="AM19" s="19"/>
      <c r="AN19" s="19"/>
      <c r="AO19" s="20"/>
    </row>
    <row r="20" spans="2:41" x14ac:dyDescent="0.25">
      <c r="B20" s="6" t="s">
        <v>43</v>
      </c>
      <c r="C20" s="8">
        <f>C21</f>
        <v>0</v>
      </c>
      <c r="D20" s="8">
        <f>D21</f>
        <v>1200000</v>
      </c>
      <c r="E20" s="8">
        <f>C20+D20</f>
        <v>1200000</v>
      </c>
      <c r="F20" s="11">
        <f>+E20/E22</f>
        <v>8.2882086418388772E-3</v>
      </c>
      <c r="G20" s="114" t="s">
        <v>43</v>
      </c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6"/>
    </row>
    <row r="21" spans="2:41" x14ac:dyDescent="0.25">
      <c r="B21" s="4" t="s">
        <v>44</v>
      </c>
      <c r="C21" s="2">
        <v>0</v>
      </c>
      <c r="D21" s="2">
        <v>1200000</v>
      </c>
      <c r="E21" s="2">
        <f>+D21+C21</f>
        <v>1200000</v>
      </c>
      <c r="F21" s="12">
        <f>+E21/E$22</f>
        <v>8.2882086418388772E-3</v>
      </c>
      <c r="G21" s="19" t="str">
        <f>B21</f>
        <v>Expropiaciones</v>
      </c>
      <c r="H21" s="19"/>
      <c r="I21" s="19">
        <v>6</v>
      </c>
      <c r="J21" s="19"/>
      <c r="K21" s="22">
        <f>D21</f>
        <v>1200000</v>
      </c>
      <c r="L21" s="22">
        <v>0</v>
      </c>
      <c r="M21" s="23">
        <f>K21+L21</f>
        <v>1200000</v>
      </c>
      <c r="N21" s="18"/>
      <c r="O21" s="18"/>
      <c r="P21" s="18"/>
      <c r="Q21" s="18"/>
      <c r="R21" s="18"/>
      <c r="S21" s="18"/>
      <c r="T21" s="38"/>
      <c r="U21" s="19"/>
      <c r="V21" s="19"/>
      <c r="W21" s="19"/>
      <c r="X21" s="19"/>
      <c r="Y21" s="19"/>
      <c r="Z21" s="19"/>
      <c r="AA21" s="20"/>
      <c r="AB21" s="21"/>
      <c r="AC21" s="21"/>
      <c r="AD21" s="21"/>
      <c r="AE21" s="21"/>
      <c r="AF21" s="21"/>
      <c r="AG21" s="21"/>
      <c r="AH21" s="21"/>
      <c r="AI21" s="19"/>
      <c r="AJ21" s="19"/>
      <c r="AK21" s="19"/>
      <c r="AL21" s="19"/>
      <c r="AM21" s="19"/>
      <c r="AN21" s="19"/>
      <c r="AO21" s="20"/>
    </row>
    <row r="22" spans="2:41" x14ac:dyDescent="0.25">
      <c r="B22" s="13" t="s">
        <v>45</v>
      </c>
      <c r="C22" s="9">
        <f>C15+C9+C4+C20</f>
        <v>128200000</v>
      </c>
      <c r="D22" s="9">
        <f>D15+D9+D4+D20</f>
        <v>16584000</v>
      </c>
      <c r="E22" s="9">
        <f>E15+E9+E4+E20</f>
        <v>144784000</v>
      </c>
      <c r="F22" s="66">
        <f>F15+F9+F4</f>
        <v>0.99171179135816112</v>
      </c>
      <c r="G22" s="117" t="s">
        <v>46</v>
      </c>
      <c r="H22" s="118"/>
      <c r="I22" s="118"/>
      <c r="J22" s="119"/>
      <c r="K22" s="40">
        <f>K21+K7+K8+K5</f>
        <v>121600000</v>
      </c>
      <c r="L22" s="40">
        <f>L21+L7+L8+L5</f>
        <v>14448000</v>
      </c>
      <c r="M22" s="40">
        <f>M21+M7+M8+M5</f>
        <v>136048000</v>
      </c>
      <c r="N22" s="117" t="s">
        <v>47</v>
      </c>
      <c r="O22" s="118"/>
      <c r="P22" s="118"/>
      <c r="Q22" s="119"/>
      <c r="R22" s="40">
        <f>R10</f>
        <v>200000</v>
      </c>
      <c r="S22" s="40">
        <f>S10</f>
        <v>24000</v>
      </c>
      <c r="T22" s="40">
        <f>T10</f>
        <v>224000</v>
      </c>
      <c r="U22" s="117" t="s">
        <v>48</v>
      </c>
      <c r="V22" s="118"/>
      <c r="W22" s="118"/>
      <c r="X22" s="119"/>
      <c r="Y22" s="40">
        <f>Y16+Y13+Y12+Y11+Y6</f>
        <v>7275000</v>
      </c>
      <c r="Z22" s="40">
        <f>Z16+Z13+Z12+Z11+Z6</f>
        <v>873000</v>
      </c>
      <c r="AA22" s="40">
        <f>AA16+AA13+AA12+AA11+AA6</f>
        <v>8148000</v>
      </c>
      <c r="AB22" s="117" t="s">
        <v>49</v>
      </c>
      <c r="AC22" s="118"/>
      <c r="AD22" s="118"/>
      <c r="AE22" s="119"/>
      <c r="AF22" s="40">
        <f>AF18+AF19</f>
        <v>150000</v>
      </c>
      <c r="AG22" s="40">
        <f>AG18+AG19</f>
        <v>18000</v>
      </c>
      <c r="AH22" s="40">
        <f>AH18+AH19</f>
        <v>168000</v>
      </c>
      <c r="AI22" s="117" t="s">
        <v>50</v>
      </c>
      <c r="AJ22" s="118"/>
      <c r="AK22" s="118"/>
      <c r="AL22" s="119"/>
      <c r="AM22" s="40">
        <f>AM14</f>
        <v>175000</v>
      </c>
      <c r="AN22" s="40">
        <f>AN14</f>
        <v>21000</v>
      </c>
      <c r="AO22" s="40">
        <f>AO14</f>
        <v>196000</v>
      </c>
    </row>
    <row r="23" spans="2:41" x14ac:dyDescent="0.25">
      <c r="B23" s="20" t="s">
        <v>51</v>
      </c>
      <c r="C23" s="23">
        <f>E22</f>
        <v>144784000</v>
      </c>
      <c r="K23" s="39"/>
    </row>
    <row r="24" spans="2:41" x14ac:dyDescent="0.25">
      <c r="B24" s="68" t="s">
        <v>52</v>
      </c>
      <c r="C24" s="69">
        <f>E22-C23</f>
        <v>0</v>
      </c>
      <c r="E24" s="39">
        <f>+C5+C7+C8</f>
        <v>120400000</v>
      </c>
      <c r="F24" s="39">
        <f>+D5+D7+D8</f>
        <v>14448000</v>
      </c>
      <c r="G24" s="39">
        <f>+E24+F24</f>
        <v>134848000</v>
      </c>
    </row>
    <row r="25" spans="2:41" x14ac:dyDescent="0.25">
      <c r="B25" s="20" t="s">
        <v>53</v>
      </c>
      <c r="C25" s="23">
        <f>M22+T22+AA22+AH22+AO22</f>
        <v>144784000</v>
      </c>
    </row>
  </sheetData>
  <mergeCells count="16">
    <mergeCell ref="G4:AO4"/>
    <mergeCell ref="G22:J22"/>
    <mergeCell ref="N22:Q22"/>
    <mergeCell ref="U22:X22"/>
    <mergeCell ref="AB22:AE22"/>
    <mergeCell ref="AI22:AL22"/>
    <mergeCell ref="G9:AO9"/>
    <mergeCell ref="G15:AO15"/>
    <mergeCell ref="G20:AO20"/>
    <mergeCell ref="B2:F2"/>
    <mergeCell ref="G1:AO1"/>
    <mergeCell ref="G2:M2"/>
    <mergeCell ref="N2:T2"/>
    <mergeCell ref="U2:AA2"/>
    <mergeCell ref="AB2:AH2"/>
    <mergeCell ref="AI2:AO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8"/>
  <sheetViews>
    <sheetView workbookViewId="0">
      <selection activeCell="C13" sqref="C13"/>
    </sheetView>
  </sheetViews>
  <sheetFormatPr defaultColWidth="9.140625" defaultRowHeight="15" x14ac:dyDescent="0.25"/>
  <cols>
    <col min="1" max="1" width="4.7109375" style="1" customWidth="1"/>
    <col min="2" max="2" width="56.5703125" style="1" customWidth="1"/>
    <col min="3" max="3" width="13.42578125" style="1" bestFit="1" customWidth="1"/>
    <col min="4" max="4" width="12.28515625" style="1" bestFit="1" customWidth="1"/>
    <col min="5" max="5" width="13.42578125" style="1" bestFit="1" customWidth="1"/>
    <col min="6" max="16384" width="9.140625" style="1"/>
  </cols>
  <sheetData>
    <row r="2" spans="2:6" x14ac:dyDescent="0.25">
      <c r="B2" s="108" t="s">
        <v>54</v>
      </c>
      <c r="C2" s="109"/>
      <c r="D2" s="109"/>
      <c r="E2" s="109"/>
      <c r="F2" s="120"/>
    </row>
    <row r="3" spans="2:6" x14ac:dyDescent="0.25"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</row>
    <row r="4" spans="2:6" ht="24" x14ac:dyDescent="0.25">
      <c r="B4" s="42" t="str">
        <f>'1. Presupuesto detallado'!B4</f>
        <v xml:space="preserve">Componente 1.- Obras Civiles, fiscalización y auditoría de seguridad vial </v>
      </c>
      <c r="C4" s="43">
        <f>'1. Presupuesto detallado'!C4</f>
        <v>125775000</v>
      </c>
      <c r="D4" s="10">
        <f>C4*12%</f>
        <v>15093000</v>
      </c>
      <c r="E4" s="10">
        <f>+C4+D4</f>
        <v>140868000</v>
      </c>
      <c r="F4" s="44">
        <f>+E4/E8</f>
        <v>0.97295281246546583</v>
      </c>
    </row>
    <row r="5" spans="2:6" ht="24" x14ac:dyDescent="0.25">
      <c r="B5" s="42" t="str">
        <f>'1. Presupuesto detallado'!B9</f>
        <v xml:space="preserve">Componente 2.- Gestión de riesgos de desastres y temas transversales </v>
      </c>
      <c r="C5" s="10">
        <f>'1. Presupuesto detallado'!C9</f>
        <v>2175000</v>
      </c>
      <c r="D5" s="10">
        <f t="shared" ref="D5:D6" si="0">C5*12%</f>
        <v>261000</v>
      </c>
      <c r="E5" s="10">
        <f>+C5+D5</f>
        <v>2436000</v>
      </c>
      <c r="F5" s="44">
        <f>+E5/E8</f>
        <v>1.6825063542932922E-2</v>
      </c>
    </row>
    <row r="6" spans="2:6" x14ac:dyDescent="0.25">
      <c r="B6" s="42" t="s">
        <v>37</v>
      </c>
      <c r="C6" s="10">
        <f>'1. Presupuesto detallado'!C15</f>
        <v>250000</v>
      </c>
      <c r="D6" s="10">
        <f t="shared" si="0"/>
        <v>30000</v>
      </c>
      <c r="E6" s="43">
        <f>+C6+D6</f>
        <v>280000</v>
      </c>
      <c r="F6" s="44">
        <f>+E6/E8</f>
        <v>1.9339153497624046E-3</v>
      </c>
    </row>
    <row r="7" spans="2:6" x14ac:dyDescent="0.25">
      <c r="B7" s="42" t="s">
        <v>43</v>
      </c>
      <c r="C7" s="43">
        <f>'1. Presupuesto detallado'!C20</f>
        <v>0</v>
      </c>
      <c r="D7" s="43">
        <v>1200000</v>
      </c>
      <c r="E7" s="43">
        <f>+D7</f>
        <v>1200000</v>
      </c>
      <c r="F7" s="44">
        <f>+E7/E8</f>
        <v>8.2882086418388772E-3</v>
      </c>
    </row>
    <row r="8" spans="2:6" x14ac:dyDescent="0.25">
      <c r="B8" s="13" t="s">
        <v>45</v>
      </c>
      <c r="C8" s="9">
        <f>SUM(C4:C7)</f>
        <v>128200000</v>
      </c>
      <c r="D8" s="9">
        <f>SUM(D4:D7)</f>
        <v>16584000</v>
      </c>
      <c r="E8" s="9">
        <f>SUM(E4:E7)</f>
        <v>144784000</v>
      </c>
      <c r="F8" s="65">
        <f>SUM(F4:F7)</f>
        <v>1</v>
      </c>
    </row>
  </sheetData>
  <mergeCells count="1">
    <mergeCell ref="B2:F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T30"/>
  <sheetViews>
    <sheetView topLeftCell="A4" zoomScale="80" zoomScaleNormal="80" workbookViewId="0">
      <selection activeCell="D24" sqref="D24"/>
    </sheetView>
  </sheetViews>
  <sheetFormatPr defaultColWidth="11.42578125" defaultRowHeight="12" x14ac:dyDescent="0.2"/>
  <cols>
    <col min="1" max="1" width="2" style="92" customWidth="1"/>
    <col min="2" max="2" width="51.85546875" style="92" customWidth="1"/>
    <col min="3" max="3" width="38" style="92" customWidth="1"/>
    <col min="4" max="4" width="19" style="92" customWidth="1"/>
    <col min="5" max="5" width="17.28515625" style="92" customWidth="1"/>
    <col min="6" max="7" width="11.42578125" style="92"/>
    <col min="8" max="8" width="13.85546875" style="92" customWidth="1"/>
    <col min="9" max="20" width="4.7109375" style="92" customWidth="1"/>
    <col min="21" max="16384" width="11.42578125" style="92"/>
  </cols>
  <sheetData>
    <row r="2" spans="2:20" ht="15" customHeight="1" x14ac:dyDescent="0.2">
      <c r="B2" s="89" t="s">
        <v>55</v>
      </c>
      <c r="C2" s="110" t="s">
        <v>56</v>
      </c>
      <c r="D2" s="110"/>
      <c r="E2" s="110"/>
      <c r="F2" s="110"/>
      <c r="G2" s="110"/>
      <c r="H2" s="110"/>
      <c r="I2" s="110" t="s">
        <v>57</v>
      </c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2:20" x14ac:dyDescent="0.2">
      <c r="B3" s="89"/>
      <c r="C3" s="110"/>
      <c r="D3" s="110"/>
      <c r="E3" s="110"/>
      <c r="F3" s="110" t="s">
        <v>58</v>
      </c>
      <c r="G3" s="110"/>
      <c r="H3" s="89"/>
      <c r="I3" s="110" t="s">
        <v>59</v>
      </c>
      <c r="J3" s="110"/>
      <c r="K3" s="110"/>
      <c r="L3" s="110" t="s">
        <v>60</v>
      </c>
      <c r="M3" s="110"/>
      <c r="N3" s="110"/>
      <c r="O3" s="110" t="s">
        <v>61</v>
      </c>
      <c r="P3" s="110"/>
      <c r="Q3" s="110"/>
      <c r="R3" s="110" t="s">
        <v>62</v>
      </c>
      <c r="S3" s="110"/>
      <c r="T3" s="110"/>
    </row>
    <row r="4" spans="2:20" ht="24" x14ac:dyDescent="0.2">
      <c r="B4" s="5" t="s">
        <v>7</v>
      </c>
      <c r="C4" s="5" t="s">
        <v>63</v>
      </c>
      <c r="D4" s="5" t="s">
        <v>64</v>
      </c>
      <c r="E4" s="5" t="s">
        <v>10</v>
      </c>
      <c r="F4" s="5" t="s">
        <v>65</v>
      </c>
      <c r="G4" s="5" t="s">
        <v>66</v>
      </c>
      <c r="H4" s="5" t="s">
        <v>67</v>
      </c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>
        <v>8</v>
      </c>
      <c r="Q4" s="5">
        <v>9</v>
      </c>
      <c r="R4" s="5">
        <v>10</v>
      </c>
      <c r="S4" s="5">
        <v>11</v>
      </c>
      <c r="T4" s="5">
        <v>12</v>
      </c>
    </row>
    <row r="5" spans="2:20" x14ac:dyDescent="0.2">
      <c r="B5" s="67" t="s">
        <v>68</v>
      </c>
      <c r="C5" s="8"/>
      <c r="D5" s="7"/>
      <c r="E5" s="90">
        <f>+E6+E11+E17+E22</f>
        <v>23836600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</row>
    <row r="6" spans="2:20" ht="24" x14ac:dyDescent="0.2">
      <c r="B6" s="45" t="str">
        <f>'2.Presupuesto Resumido'!B4</f>
        <v xml:space="preserve">Componente 1.- Obras Civiles, fiscalización y auditoría de seguridad vial </v>
      </c>
      <c r="C6" s="46"/>
      <c r="D6" s="46"/>
      <c r="E6" s="46">
        <f>+E7+E8+E9+E10</f>
        <v>22575000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2:20" ht="24" x14ac:dyDescent="0.2">
      <c r="B7" s="4" t="s">
        <v>25</v>
      </c>
      <c r="C7" s="97" t="s">
        <v>69</v>
      </c>
      <c r="D7" s="97" t="s">
        <v>70</v>
      </c>
      <c r="E7" s="3">
        <v>21500000</v>
      </c>
      <c r="F7" s="91"/>
      <c r="G7" s="91"/>
      <c r="H7" s="91"/>
      <c r="I7" s="91"/>
      <c r="J7" s="91"/>
      <c r="K7" s="100"/>
      <c r="L7" s="100"/>
      <c r="M7" s="100"/>
      <c r="N7" s="100"/>
      <c r="O7" s="100"/>
      <c r="P7" s="101"/>
      <c r="Q7" s="101"/>
      <c r="R7" s="101"/>
      <c r="S7" s="101"/>
      <c r="T7" s="102"/>
    </row>
    <row r="8" spans="2:20" ht="24" x14ac:dyDescent="0.2">
      <c r="B8" s="4" t="s">
        <v>28</v>
      </c>
      <c r="C8" s="97" t="s">
        <v>71</v>
      </c>
      <c r="D8" s="97" t="s">
        <v>70</v>
      </c>
      <c r="E8" s="3">
        <v>1075000</v>
      </c>
      <c r="F8" s="91"/>
      <c r="G8" s="91"/>
      <c r="H8" s="91"/>
      <c r="I8" s="91"/>
      <c r="J8" s="91"/>
      <c r="K8" s="100"/>
      <c r="L8" s="100"/>
      <c r="M8" s="100"/>
      <c r="N8" s="100"/>
      <c r="O8" s="101"/>
      <c r="P8" s="101"/>
      <c r="Q8" s="101"/>
      <c r="R8" s="101"/>
      <c r="S8" s="102"/>
      <c r="T8" s="102"/>
    </row>
    <row r="9" spans="2:20" x14ac:dyDescent="0.2">
      <c r="B9" s="4" t="s">
        <v>72</v>
      </c>
      <c r="C9" s="2"/>
      <c r="D9" s="2"/>
      <c r="E9" s="3">
        <v>0</v>
      </c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</row>
    <row r="10" spans="2:20" x14ac:dyDescent="0.2">
      <c r="B10" s="4" t="s">
        <v>73</v>
      </c>
      <c r="C10" s="2"/>
      <c r="D10" s="2"/>
      <c r="E10" s="3">
        <v>0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</row>
    <row r="11" spans="2:20" ht="24" x14ac:dyDescent="0.2">
      <c r="B11" s="45" t="str">
        <f>'1. Presupuesto detallado'!B9</f>
        <v xml:space="preserve">Componente 2.- Gestión de riesgos de desastres y temas transversales </v>
      </c>
      <c r="C11" s="48"/>
      <c r="D11" s="48"/>
      <c r="E11" s="46">
        <f>SUM(E12:E16)</f>
        <v>39200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2:20" ht="24" x14ac:dyDescent="0.2">
      <c r="B12" s="4" t="str">
        <f>'1. Presupuesto detallado'!B10</f>
        <v>Adquisición, instalación y mantenimiento de equipos y software para el Sistema de Alerta Temprana (SAT)</v>
      </c>
      <c r="C12" s="2"/>
      <c r="D12" s="2"/>
      <c r="E12" s="3">
        <v>0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</row>
    <row r="13" spans="2:20" ht="24" x14ac:dyDescent="0.2">
      <c r="B13" s="4" t="str">
        <f>'1. Presupuesto detallado'!B11</f>
        <v>Desarrollo de software y capacitación para la operación del SAT</v>
      </c>
      <c r="C13" s="2"/>
      <c r="D13" s="2"/>
      <c r="E13" s="3">
        <v>0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2:20" ht="24" x14ac:dyDescent="0.2">
      <c r="B14" s="4" t="str">
        <f>'1. Presupuesto detallado'!B12</f>
        <v>Estudio de evaluación de eficiencia y utilidad de infraestructura verde o hibrida</v>
      </c>
      <c r="C14" s="2"/>
      <c r="D14" s="2"/>
      <c r="E14" s="3">
        <v>0</v>
      </c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spans="2:20" ht="24" x14ac:dyDescent="0.2">
      <c r="B15" s="4" t="str">
        <f>'1. Presupuesto detallado'!B13</f>
        <v>Estudio de factibilidad y propuesta de diseño final de obras de mitigación en el tramo Vilcabamba - Bellavista del Eje Vial No.4</v>
      </c>
      <c r="C15" s="2"/>
      <c r="D15" s="2"/>
      <c r="E15" s="3">
        <v>0</v>
      </c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</row>
    <row r="16" spans="2:20" ht="24" x14ac:dyDescent="0.2">
      <c r="B16" s="42" t="str">
        <f>'1. Presupuesto detallado'!B14</f>
        <v>Talleres temas transversales de género, productividad y accesibilidad universal</v>
      </c>
      <c r="C16" s="98" t="s">
        <v>74</v>
      </c>
      <c r="D16" s="98" t="s">
        <v>70</v>
      </c>
      <c r="E16" s="3">
        <v>39200</v>
      </c>
      <c r="F16" s="91"/>
      <c r="G16" s="91"/>
      <c r="H16" s="91"/>
      <c r="I16" s="91"/>
      <c r="J16" s="91"/>
      <c r="K16" s="91"/>
      <c r="L16" s="91"/>
      <c r="M16" s="100"/>
      <c r="N16" s="100"/>
      <c r="O16" s="100"/>
      <c r="P16" s="100"/>
      <c r="Q16" s="101"/>
      <c r="R16" s="101"/>
      <c r="S16" s="101"/>
      <c r="T16" s="102"/>
    </row>
    <row r="17" spans="2:20" x14ac:dyDescent="0.2">
      <c r="B17" s="45" t="s">
        <v>37</v>
      </c>
      <c r="C17" s="46"/>
      <c r="D17" s="46"/>
      <c r="E17" s="46">
        <f>SUM(E18:E21)</f>
        <v>22400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2:20" x14ac:dyDescent="0.2">
      <c r="B18" s="4" t="s">
        <v>38</v>
      </c>
      <c r="C18" s="98" t="s">
        <v>74</v>
      </c>
      <c r="D18" s="98" t="s">
        <v>70</v>
      </c>
      <c r="E18" s="3">
        <v>22400</v>
      </c>
      <c r="F18" s="91"/>
      <c r="G18" s="91"/>
      <c r="H18" s="91"/>
      <c r="I18" s="91"/>
      <c r="J18" s="91"/>
      <c r="K18" s="91"/>
      <c r="L18" s="91"/>
      <c r="M18" s="100"/>
      <c r="N18" s="100"/>
      <c r="O18" s="100"/>
      <c r="P18" s="100"/>
      <c r="Q18" s="101"/>
      <c r="R18" s="101"/>
      <c r="S18" s="101"/>
      <c r="T18" s="102"/>
    </row>
    <row r="19" spans="2:20" x14ac:dyDescent="0.2">
      <c r="B19" s="4" t="s">
        <v>39</v>
      </c>
      <c r="C19" s="2"/>
      <c r="D19" s="10"/>
      <c r="E19" s="3">
        <v>0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</row>
    <row r="20" spans="2:20" x14ac:dyDescent="0.2">
      <c r="B20" s="4" t="s">
        <v>40</v>
      </c>
      <c r="C20" s="2"/>
      <c r="D20" s="2"/>
      <c r="E20" s="3">
        <v>0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spans="2:20" x14ac:dyDescent="0.2">
      <c r="B21" s="4" t="s">
        <v>42</v>
      </c>
      <c r="C21" s="2"/>
      <c r="D21" s="2"/>
      <c r="E21" s="3">
        <v>0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</row>
    <row r="22" spans="2:20" x14ac:dyDescent="0.2">
      <c r="B22" s="45" t="s">
        <v>43</v>
      </c>
      <c r="C22" s="48"/>
      <c r="D22" s="48"/>
      <c r="E22" s="46">
        <f>+E23</f>
        <v>1200000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2:20" x14ac:dyDescent="0.2">
      <c r="B23" s="4" t="s">
        <v>44</v>
      </c>
      <c r="C23" s="99" t="s">
        <v>75</v>
      </c>
      <c r="D23" s="99" t="s">
        <v>76</v>
      </c>
      <c r="E23" s="3">
        <v>1200000</v>
      </c>
      <c r="F23" s="91"/>
      <c r="G23" s="91"/>
      <c r="H23" s="91"/>
      <c r="I23" s="100"/>
      <c r="J23" s="100"/>
      <c r="K23" s="100"/>
      <c r="L23" s="100"/>
      <c r="M23" s="101"/>
      <c r="N23" s="101"/>
      <c r="O23" s="101"/>
      <c r="P23" s="102"/>
      <c r="Q23" s="102"/>
      <c r="R23" s="102"/>
      <c r="S23" s="102"/>
      <c r="T23" s="102"/>
    </row>
    <row r="28" spans="2:20" x14ac:dyDescent="0.2">
      <c r="E28" s="93"/>
      <c r="F28" s="121" t="s">
        <v>77</v>
      </c>
      <c r="G28" s="121"/>
      <c r="H28" s="121"/>
      <c r="I28" s="121"/>
      <c r="J28" s="121"/>
    </row>
    <row r="29" spans="2:20" x14ac:dyDescent="0.2">
      <c r="E29" s="94"/>
      <c r="F29" s="121" t="s">
        <v>78</v>
      </c>
      <c r="G29" s="121"/>
      <c r="H29" s="121"/>
      <c r="I29" s="121"/>
      <c r="J29" s="103"/>
    </row>
    <row r="30" spans="2:20" x14ac:dyDescent="0.2">
      <c r="E30" s="95"/>
      <c r="F30" s="121" t="s">
        <v>79</v>
      </c>
      <c r="G30" s="121"/>
      <c r="H30" s="121"/>
      <c r="I30" s="121"/>
      <c r="J30" s="96"/>
    </row>
  </sheetData>
  <mergeCells count="12">
    <mergeCell ref="F29:I29"/>
    <mergeCell ref="F30:I30"/>
    <mergeCell ref="C3:E3"/>
    <mergeCell ref="F2:H2"/>
    <mergeCell ref="L3:N3"/>
    <mergeCell ref="C2:E2"/>
    <mergeCell ref="O3:Q3"/>
    <mergeCell ref="R3:T3"/>
    <mergeCell ref="I2:T2"/>
    <mergeCell ref="F3:G3"/>
    <mergeCell ref="F28:J28"/>
    <mergeCell ref="I3:K3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X29"/>
  <sheetViews>
    <sheetView topLeftCell="G1" zoomScale="75" workbookViewId="0">
      <selection activeCell="N29" sqref="N29"/>
    </sheetView>
  </sheetViews>
  <sheetFormatPr defaultColWidth="9.140625" defaultRowHeight="12" x14ac:dyDescent="0.25"/>
  <cols>
    <col min="1" max="1" width="4.7109375" style="14" customWidth="1"/>
    <col min="2" max="2" width="52.140625" style="14" customWidth="1"/>
    <col min="3" max="3" width="15.42578125" style="14" hidden="1" customWidth="1"/>
    <col min="4" max="4" width="15.140625" style="14" hidden="1" customWidth="1"/>
    <col min="5" max="6" width="13.5703125" style="14" hidden="1" customWidth="1"/>
    <col min="7" max="8" width="16.42578125" style="14" customWidth="1"/>
    <col min="9" max="9" width="16.42578125" style="15" customWidth="1"/>
    <col min="10" max="11" width="16.42578125" style="14" customWidth="1"/>
    <col min="12" max="12" width="16.42578125" style="15" customWidth="1"/>
    <col min="13" max="14" width="16.42578125" style="14" customWidth="1"/>
    <col min="15" max="15" width="16.42578125" style="15" customWidth="1"/>
    <col min="16" max="17" width="16.42578125" style="14" customWidth="1"/>
    <col min="18" max="18" width="16.42578125" style="15" customWidth="1"/>
    <col min="19" max="20" width="16.42578125" style="14" customWidth="1"/>
    <col min="21" max="21" width="16.42578125" style="15" customWidth="1"/>
    <col min="22" max="23" width="16.42578125" style="14" bestFit="1" customWidth="1"/>
    <col min="24" max="24" width="13.42578125" style="14" bestFit="1" customWidth="1"/>
    <col min="25" max="16384" width="9.140625" style="14"/>
  </cols>
  <sheetData>
    <row r="2" spans="2:24" x14ac:dyDescent="0.25">
      <c r="B2" s="127" t="s">
        <v>1</v>
      </c>
      <c r="C2" s="127"/>
      <c r="D2" s="127"/>
      <c r="E2" s="127"/>
      <c r="F2" s="104"/>
      <c r="G2" s="127" t="s">
        <v>80</v>
      </c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2" t="s">
        <v>81</v>
      </c>
      <c r="W2" s="123"/>
    </row>
    <row r="3" spans="2:24" x14ac:dyDescent="0.25">
      <c r="B3" s="127"/>
      <c r="C3" s="127"/>
      <c r="D3" s="127"/>
      <c r="E3" s="127"/>
      <c r="F3" s="104"/>
      <c r="G3" s="127">
        <v>2020</v>
      </c>
      <c r="H3" s="127"/>
      <c r="I3" s="127"/>
      <c r="J3" s="127">
        <v>2021</v>
      </c>
      <c r="K3" s="127"/>
      <c r="L3" s="127"/>
      <c r="M3" s="127">
        <v>2022</v>
      </c>
      <c r="N3" s="127"/>
      <c r="O3" s="127"/>
      <c r="P3" s="127">
        <v>2023</v>
      </c>
      <c r="Q3" s="127"/>
      <c r="R3" s="127"/>
      <c r="S3" s="126">
        <v>2024</v>
      </c>
      <c r="T3" s="126"/>
      <c r="U3" s="126"/>
      <c r="V3" s="124"/>
      <c r="W3" s="125"/>
    </row>
    <row r="4" spans="2:24" s="16" customFormat="1" x14ac:dyDescent="0.25">
      <c r="B4" s="5" t="s">
        <v>7</v>
      </c>
      <c r="C4" s="5" t="s">
        <v>8</v>
      </c>
      <c r="D4" s="5" t="s">
        <v>9</v>
      </c>
      <c r="E4" s="5" t="s">
        <v>10</v>
      </c>
      <c r="F4" s="5"/>
      <c r="G4" s="5" t="s">
        <v>8</v>
      </c>
      <c r="H4" s="5" t="s">
        <v>9</v>
      </c>
      <c r="I4" s="5" t="s">
        <v>10</v>
      </c>
      <c r="J4" s="5" t="s">
        <v>8</v>
      </c>
      <c r="K4" s="5" t="s">
        <v>9</v>
      </c>
      <c r="L4" s="5" t="s">
        <v>10</v>
      </c>
      <c r="M4" s="5" t="s">
        <v>8</v>
      </c>
      <c r="N4" s="5" t="s">
        <v>9</v>
      </c>
      <c r="O4" s="5" t="s">
        <v>10</v>
      </c>
      <c r="P4" s="5" t="s">
        <v>8</v>
      </c>
      <c r="Q4" s="5" t="s">
        <v>9</v>
      </c>
      <c r="R4" s="5" t="s">
        <v>10</v>
      </c>
      <c r="S4" s="5" t="s">
        <v>8</v>
      </c>
      <c r="T4" s="5" t="s">
        <v>9</v>
      </c>
      <c r="U4" s="5" t="s">
        <v>10</v>
      </c>
      <c r="V4" s="74"/>
      <c r="W4" s="75">
        <f>V5+W5</f>
        <v>144784000</v>
      </c>
    </row>
    <row r="5" spans="2:24" x14ac:dyDescent="0.25">
      <c r="B5" s="67" t="s">
        <v>68</v>
      </c>
      <c r="C5" s="8">
        <v>140000000</v>
      </c>
      <c r="D5" s="7">
        <f>SUM(D7)</f>
        <v>16800000</v>
      </c>
      <c r="E5" s="7">
        <f>+C5+D5</f>
        <v>156800000</v>
      </c>
      <c r="F5" s="7"/>
      <c r="G5" s="23">
        <f t="shared" ref="G5:U5" si="0">SUM(G7:G23)</f>
        <v>22630000</v>
      </c>
      <c r="H5" s="23">
        <f t="shared" si="0"/>
        <v>1206600</v>
      </c>
      <c r="I5" s="23">
        <f t="shared" si="0"/>
        <v>23836600</v>
      </c>
      <c r="J5" s="23">
        <f t="shared" si="0"/>
        <v>17608750</v>
      </c>
      <c r="K5" s="23">
        <f t="shared" si="0"/>
        <v>2113050</v>
      </c>
      <c r="L5" s="23">
        <f t="shared" si="0"/>
        <v>19721800</v>
      </c>
      <c r="M5" s="23">
        <f t="shared" si="0"/>
        <v>17583750</v>
      </c>
      <c r="N5" s="23">
        <f t="shared" si="0"/>
        <v>2110050</v>
      </c>
      <c r="O5" s="23">
        <f t="shared" si="0"/>
        <v>19693800</v>
      </c>
      <c r="P5" s="23">
        <f t="shared" si="0"/>
        <v>18808750</v>
      </c>
      <c r="Q5" s="23">
        <f t="shared" si="0"/>
        <v>2257050</v>
      </c>
      <c r="R5" s="23">
        <f t="shared" si="0"/>
        <v>21065800</v>
      </c>
      <c r="S5" s="23">
        <f t="shared" si="0"/>
        <v>51568750</v>
      </c>
      <c r="T5" s="23">
        <f t="shared" si="0"/>
        <v>8897250</v>
      </c>
      <c r="U5" s="23">
        <f t="shared" si="0"/>
        <v>60466000</v>
      </c>
      <c r="V5" s="76">
        <f>V6+V11+V17+V22</f>
        <v>128200000</v>
      </c>
      <c r="W5" s="76">
        <f>W6+W11+W17+W22</f>
        <v>16584000</v>
      </c>
      <c r="X5" s="39"/>
    </row>
    <row r="6" spans="2:24" ht="24" x14ac:dyDescent="0.25">
      <c r="B6" s="45" t="str">
        <f>'2.Presupuesto Resumido'!B4</f>
        <v xml:space="preserve">Componente 1.- Obras Civiles, fiscalización y auditoría de seguridad vial </v>
      </c>
      <c r="C6" s="8"/>
      <c r="D6" s="7"/>
      <c r="E6" s="7"/>
      <c r="F6" s="7"/>
      <c r="G6" s="47"/>
      <c r="H6" s="47"/>
      <c r="I6" s="46"/>
      <c r="J6" s="47"/>
      <c r="K6" s="47"/>
      <c r="L6" s="46"/>
      <c r="M6" s="47"/>
      <c r="N6" s="47"/>
      <c r="O6" s="46"/>
      <c r="P6" s="47"/>
      <c r="Q6" s="47"/>
      <c r="R6" s="46"/>
      <c r="S6" s="47"/>
      <c r="T6" s="47"/>
      <c r="U6" s="46"/>
      <c r="V6" s="46">
        <f>SUM(V7:V10)</f>
        <v>125775000</v>
      </c>
      <c r="W6" s="46">
        <f>SUM(W7:W10)</f>
        <v>15093000</v>
      </c>
      <c r="X6" s="39"/>
    </row>
    <row r="7" spans="2:24" ht="24" x14ac:dyDescent="0.25">
      <c r="B7" s="4" t="s">
        <v>25</v>
      </c>
      <c r="C7" s="2">
        <f>+C5</f>
        <v>140000000</v>
      </c>
      <c r="D7" s="2">
        <f>+C7*12%</f>
        <v>16800000</v>
      </c>
      <c r="E7" s="2">
        <f t="shared" ref="E7:E12" si="1">+C7+D7</f>
        <v>156800000</v>
      </c>
      <c r="F7" s="2">
        <f>+C7-G7-J7-M7-P7-S7</f>
        <v>32500000</v>
      </c>
      <c r="G7" s="2">
        <f>'1. Presupuesto detallado'!C5*20%</f>
        <v>21500000</v>
      </c>
      <c r="H7" s="2">
        <v>0</v>
      </c>
      <c r="I7" s="3">
        <f>G7+H7</f>
        <v>21500000</v>
      </c>
      <c r="J7" s="2">
        <f>'1. Presupuesto detallado'!C5*15%</f>
        <v>16125000</v>
      </c>
      <c r="K7" s="2">
        <f>J7*12%</f>
        <v>1935000</v>
      </c>
      <c r="L7" s="3">
        <f>J7+K7</f>
        <v>18060000</v>
      </c>
      <c r="M7" s="2">
        <f>'1. Presupuesto detallado'!C5*15%</f>
        <v>16125000</v>
      </c>
      <c r="N7" s="2">
        <f>M7*12%</f>
        <v>1935000</v>
      </c>
      <c r="O7" s="23">
        <f>M7+N7</f>
        <v>18060000</v>
      </c>
      <c r="P7" s="2">
        <f>'1. Presupuesto detallado'!C5*15%</f>
        <v>16125000</v>
      </c>
      <c r="Q7" s="2">
        <f>+P7*12%</f>
        <v>1935000</v>
      </c>
      <c r="R7" s="3">
        <f>+P7+Q7</f>
        <v>18060000</v>
      </c>
      <c r="S7" s="2">
        <f>'1. Presupuesto detallado'!C5*35%</f>
        <v>37625000</v>
      </c>
      <c r="T7" s="2">
        <f>(S7*12%)+(G7*12%)</f>
        <v>7095000</v>
      </c>
      <c r="U7" s="3">
        <f>+S7+T7</f>
        <v>44720000</v>
      </c>
      <c r="V7" s="22">
        <f t="shared" ref="V7:W10" si="2">G7+J7+M7+P7+S7</f>
        <v>107500000</v>
      </c>
      <c r="W7" s="22">
        <f t="shared" si="2"/>
        <v>12900000</v>
      </c>
      <c r="X7" s="39"/>
    </row>
    <row r="8" spans="2:24" ht="24" x14ac:dyDescent="0.25">
      <c r="B8" s="4" t="s">
        <v>28</v>
      </c>
      <c r="C8" s="2">
        <v>6000000</v>
      </c>
      <c r="D8" s="2">
        <f>+C8*12%</f>
        <v>720000</v>
      </c>
      <c r="E8" s="2">
        <f t="shared" si="1"/>
        <v>6720000</v>
      </c>
      <c r="F8" s="2">
        <f t="shared" ref="F8:F23" si="3">+C8-G8-J8-M8-P8-S8</f>
        <v>625000</v>
      </c>
      <c r="G8" s="2">
        <f>'1. Presupuesto detallado'!C6*20%</f>
        <v>1075000</v>
      </c>
      <c r="H8" s="2">
        <v>0</v>
      </c>
      <c r="I8" s="3">
        <f t="shared" ref="I8:I23" si="4">G8+H8</f>
        <v>1075000</v>
      </c>
      <c r="J8" s="2">
        <f>J7*5%</f>
        <v>806250</v>
      </c>
      <c r="K8" s="2">
        <f>J8*12%</f>
        <v>96750</v>
      </c>
      <c r="L8" s="3">
        <f>J8+K8</f>
        <v>903000</v>
      </c>
      <c r="M8" s="2">
        <f>+M7*5%</f>
        <v>806250</v>
      </c>
      <c r="N8" s="2">
        <f>M8*12%</f>
        <v>96750</v>
      </c>
      <c r="O8" s="23">
        <f t="shared" ref="O8" si="5">M8+N8</f>
        <v>903000</v>
      </c>
      <c r="P8" s="2">
        <f>+P7*5%</f>
        <v>806250</v>
      </c>
      <c r="Q8" s="2">
        <f>P8*12%</f>
        <v>96750</v>
      </c>
      <c r="R8" s="3">
        <f>P8+Q8</f>
        <v>903000</v>
      </c>
      <c r="S8" s="2">
        <f>S7*5%</f>
        <v>1881250</v>
      </c>
      <c r="T8" s="2">
        <f>(S8*12%)+(G8*12%)</f>
        <v>354750</v>
      </c>
      <c r="U8" s="3">
        <f>S8+T8</f>
        <v>2236000</v>
      </c>
      <c r="V8" s="22">
        <f t="shared" si="2"/>
        <v>5375000</v>
      </c>
      <c r="W8" s="22">
        <f t="shared" si="2"/>
        <v>645000</v>
      </c>
    </row>
    <row r="9" spans="2:24" x14ac:dyDescent="0.25">
      <c r="B9" s="4" t="s">
        <v>72</v>
      </c>
      <c r="C9" s="2">
        <v>0</v>
      </c>
      <c r="D9" s="2">
        <v>3000000</v>
      </c>
      <c r="E9" s="2">
        <f t="shared" si="1"/>
        <v>3000000</v>
      </c>
      <c r="F9" s="2">
        <f>+C9-G9-J9-M9-P9-S9</f>
        <v>-2150000</v>
      </c>
      <c r="G9" s="2">
        <v>0</v>
      </c>
      <c r="H9" s="2">
        <v>0</v>
      </c>
      <c r="I9" s="3">
        <f>G9+H9</f>
        <v>0</v>
      </c>
      <c r="J9" s="2">
        <f>J7*2%</f>
        <v>322500</v>
      </c>
      <c r="K9" s="2">
        <f t="shared" ref="K9" si="6">+J9*12%</f>
        <v>38700</v>
      </c>
      <c r="L9" s="3">
        <f>J9+K9</f>
        <v>361200</v>
      </c>
      <c r="M9" s="2">
        <f>M7*2%</f>
        <v>322500</v>
      </c>
      <c r="N9" s="2">
        <f t="shared" ref="N9" si="7">+M9*12%</f>
        <v>38700</v>
      </c>
      <c r="O9" s="3">
        <f>M9+N9</f>
        <v>361200</v>
      </c>
      <c r="P9" s="2">
        <f>P7*2%</f>
        <v>322500</v>
      </c>
      <c r="Q9" s="2">
        <f t="shared" ref="Q9" si="8">+P9*12%</f>
        <v>38700</v>
      </c>
      <c r="R9" s="3">
        <f>P9+Q9</f>
        <v>361200</v>
      </c>
      <c r="S9" s="2">
        <f>(S7*2%)+(G7*2%)</f>
        <v>1182500</v>
      </c>
      <c r="T9" s="2">
        <f>S9*12%</f>
        <v>141900</v>
      </c>
      <c r="U9" s="3">
        <f>S9+T9</f>
        <v>1324400</v>
      </c>
      <c r="V9" s="22">
        <f t="shared" si="2"/>
        <v>2150000</v>
      </c>
      <c r="W9" s="22">
        <f t="shared" si="2"/>
        <v>258000</v>
      </c>
    </row>
    <row r="10" spans="2:24" x14ac:dyDescent="0.25">
      <c r="B10" s="4" t="s">
        <v>73</v>
      </c>
      <c r="C10" s="2">
        <v>0</v>
      </c>
      <c r="D10" s="2">
        <v>7500000</v>
      </c>
      <c r="E10" s="2">
        <f t="shared" si="1"/>
        <v>7500000</v>
      </c>
      <c r="F10" s="2">
        <f>+C10-G10-J10-M10-P10-S10</f>
        <v>-10750000</v>
      </c>
      <c r="G10" s="2">
        <v>0</v>
      </c>
      <c r="H10" s="2">
        <v>0</v>
      </c>
      <c r="I10" s="3">
        <f>G10+H10</f>
        <v>0</v>
      </c>
      <c r="J10" s="2">
        <f t="shared" ref="J10:K10" si="9">+I10*12%</f>
        <v>0</v>
      </c>
      <c r="K10" s="2">
        <f t="shared" si="9"/>
        <v>0</v>
      </c>
      <c r="L10" s="3">
        <f>J10+K10</f>
        <v>0</v>
      </c>
      <c r="M10" s="2">
        <v>0</v>
      </c>
      <c r="N10" s="2">
        <f t="shared" ref="N10" si="10">+M10*12%</f>
        <v>0</v>
      </c>
      <c r="O10" s="3">
        <f>M10+N10</f>
        <v>0</v>
      </c>
      <c r="P10" s="2">
        <v>0</v>
      </c>
      <c r="Q10" s="2">
        <f t="shared" ref="Q10" si="11">+P10*12%</f>
        <v>0</v>
      </c>
      <c r="R10" s="3">
        <f>P10+Q10</f>
        <v>0</v>
      </c>
      <c r="S10" s="2">
        <f>'1. Presupuesto detallado'!C8</f>
        <v>10750000</v>
      </c>
      <c r="T10" s="2">
        <f>S10*12%</f>
        <v>1290000</v>
      </c>
      <c r="U10" s="3">
        <f>S10+T10</f>
        <v>12040000</v>
      </c>
      <c r="V10" s="22">
        <f t="shared" si="2"/>
        <v>10750000</v>
      </c>
      <c r="W10" s="22">
        <f t="shared" si="2"/>
        <v>1290000</v>
      </c>
    </row>
    <row r="11" spans="2:24" ht="24" x14ac:dyDescent="0.25">
      <c r="B11" s="45" t="str">
        <f>'1. Presupuesto detallado'!B9</f>
        <v xml:space="preserve">Componente 2.- Gestión de riesgos de desastres y temas transversales </v>
      </c>
      <c r="C11" s="48">
        <f>+C12+C13+C14</f>
        <v>500000</v>
      </c>
      <c r="D11" s="48">
        <f>+D12+D13+D14</f>
        <v>60000</v>
      </c>
      <c r="E11" s="48">
        <f t="shared" si="1"/>
        <v>560000</v>
      </c>
      <c r="F11" s="48"/>
      <c r="G11" s="47">
        <v>0</v>
      </c>
      <c r="H11" s="47">
        <v>0</v>
      </c>
      <c r="I11" s="46">
        <f t="shared" si="4"/>
        <v>0</v>
      </c>
      <c r="J11" s="47"/>
      <c r="K11" s="47"/>
      <c r="L11" s="46"/>
      <c r="M11" s="47"/>
      <c r="N11" s="47"/>
      <c r="O11" s="46"/>
      <c r="P11" s="47"/>
      <c r="Q11" s="47"/>
      <c r="R11" s="46"/>
      <c r="S11" s="47"/>
      <c r="T11" s="47"/>
      <c r="U11" s="46"/>
      <c r="V11" s="46">
        <f>SUM(V12:V16)</f>
        <v>2175000</v>
      </c>
      <c r="W11" s="46">
        <f>SUM(W12:W16)</f>
        <v>261000</v>
      </c>
    </row>
    <row r="12" spans="2:24" ht="24" x14ac:dyDescent="0.25">
      <c r="B12" s="4" t="str">
        <f>'1. Presupuesto detallado'!B10</f>
        <v>Adquisición, instalación y mantenimiento de equipos y software para el Sistema de Alerta Temprana (SAT)</v>
      </c>
      <c r="C12" s="2">
        <v>200000</v>
      </c>
      <c r="D12" s="2">
        <f>+C12*12%</f>
        <v>24000</v>
      </c>
      <c r="E12" s="2">
        <f t="shared" si="1"/>
        <v>224000</v>
      </c>
      <c r="F12" s="2">
        <f t="shared" si="3"/>
        <v>0</v>
      </c>
      <c r="G12" s="2">
        <v>0</v>
      </c>
      <c r="H12" s="2">
        <f>G12*12%</f>
        <v>0</v>
      </c>
      <c r="I12" s="3">
        <f t="shared" si="4"/>
        <v>0</v>
      </c>
      <c r="J12" s="2">
        <v>0</v>
      </c>
      <c r="K12" s="2">
        <v>0</v>
      </c>
      <c r="L12" s="3">
        <f t="shared" ref="L12:L13" si="12">J12+K12</f>
        <v>0</v>
      </c>
      <c r="M12" s="2">
        <f>'1. Presupuesto detallado'!C10</f>
        <v>200000</v>
      </c>
      <c r="N12" s="2">
        <f t="shared" ref="N12" si="13">+M12*12%</f>
        <v>24000</v>
      </c>
      <c r="O12" s="3">
        <f t="shared" ref="O12:O13" si="14">M12+N12</f>
        <v>224000</v>
      </c>
      <c r="P12" s="2">
        <v>0</v>
      </c>
      <c r="Q12" s="2">
        <v>0</v>
      </c>
      <c r="R12" s="3">
        <f t="shared" ref="R12:R14" si="15">P12+Q12</f>
        <v>0</v>
      </c>
      <c r="S12" s="2">
        <v>0</v>
      </c>
      <c r="T12" s="2">
        <v>0</v>
      </c>
      <c r="U12" s="3">
        <f t="shared" ref="U12:U15" si="16">S12+T12</f>
        <v>0</v>
      </c>
      <c r="V12" s="22">
        <f t="shared" ref="V12:V16" si="17">G12+J12+M12+P12+S12</f>
        <v>200000</v>
      </c>
      <c r="W12" s="22">
        <f t="shared" ref="W12:W16" si="18">H12+K12+N12+Q12+T12</f>
        <v>24000</v>
      </c>
    </row>
    <row r="13" spans="2:24" ht="24" x14ac:dyDescent="0.25">
      <c r="B13" s="4" t="str">
        <f>'1. Presupuesto detallado'!B11</f>
        <v>Desarrollo de software y capacitación para la operación del SAT</v>
      </c>
      <c r="C13" s="2">
        <v>280000</v>
      </c>
      <c r="D13" s="2">
        <f t="shared" ref="D13:D14" si="19">+C13*12%</f>
        <v>33600</v>
      </c>
      <c r="E13" s="2">
        <f t="shared" ref="E13:E14" si="20">+C13+D13</f>
        <v>313600</v>
      </c>
      <c r="F13" s="2">
        <f t="shared" si="3"/>
        <v>-20000</v>
      </c>
      <c r="G13" s="2">
        <v>0</v>
      </c>
      <c r="H13" s="2">
        <f>G13*12%</f>
        <v>0</v>
      </c>
      <c r="I13" s="3">
        <f t="shared" si="4"/>
        <v>0</v>
      </c>
      <c r="J13" s="2">
        <f>'1. Presupuesto detallado'!C11</f>
        <v>300000</v>
      </c>
      <c r="K13" s="2">
        <f t="shared" ref="K13" si="21">+J13*12%</f>
        <v>36000</v>
      </c>
      <c r="L13" s="3">
        <f t="shared" si="12"/>
        <v>336000</v>
      </c>
      <c r="M13" s="2">
        <v>0</v>
      </c>
      <c r="N13" s="2">
        <v>0</v>
      </c>
      <c r="O13" s="3">
        <f t="shared" si="14"/>
        <v>0</v>
      </c>
      <c r="P13" s="2">
        <v>0</v>
      </c>
      <c r="Q13" s="2">
        <v>0</v>
      </c>
      <c r="R13" s="3">
        <f t="shared" si="15"/>
        <v>0</v>
      </c>
      <c r="S13" s="2">
        <v>0</v>
      </c>
      <c r="T13" s="2">
        <v>0</v>
      </c>
      <c r="U13" s="3">
        <f t="shared" si="16"/>
        <v>0</v>
      </c>
      <c r="V13" s="22">
        <f t="shared" si="17"/>
        <v>300000</v>
      </c>
      <c r="W13" s="22">
        <f t="shared" si="18"/>
        <v>36000</v>
      </c>
    </row>
    <row r="14" spans="2:24" ht="29.85" customHeight="1" x14ac:dyDescent="0.25">
      <c r="B14" s="4" t="str">
        <f>'1. Presupuesto detallado'!B12</f>
        <v>Estudio de evaluación de eficiencia y utilidad de infraestructura verde o hibrida</v>
      </c>
      <c r="C14" s="2">
        <v>20000</v>
      </c>
      <c r="D14" s="2">
        <f t="shared" si="19"/>
        <v>2400</v>
      </c>
      <c r="E14" s="2">
        <f t="shared" si="20"/>
        <v>22400</v>
      </c>
      <c r="F14" s="2">
        <f t="shared" si="3"/>
        <v>-780000</v>
      </c>
      <c r="G14" s="2">
        <v>0</v>
      </c>
      <c r="H14" s="2">
        <v>0</v>
      </c>
      <c r="I14" s="3">
        <f t="shared" si="4"/>
        <v>0</v>
      </c>
      <c r="J14" s="2">
        <v>0</v>
      </c>
      <c r="K14" s="2">
        <v>0</v>
      </c>
      <c r="L14" s="3">
        <f t="shared" ref="L14" si="22">J14+K14</f>
        <v>0</v>
      </c>
      <c r="M14" s="2">
        <v>0</v>
      </c>
      <c r="N14" s="2">
        <f t="shared" ref="N14" si="23">M14*12%</f>
        <v>0</v>
      </c>
      <c r="O14" s="23">
        <f t="shared" ref="O14" si="24">M14+N14</f>
        <v>0</v>
      </c>
      <c r="P14" s="2">
        <f>'1. Presupuesto detallado'!C12</f>
        <v>800000</v>
      </c>
      <c r="Q14" s="2">
        <f>P14*12%</f>
        <v>96000</v>
      </c>
      <c r="R14" s="3">
        <f t="shared" si="15"/>
        <v>896000</v>
      </c>
      <c r="S14" s="2">
        <v>0</v>
      </c>
      <c r="T14" s="2">
        <v>0</v>
      </c>
      <c r="U14" s="3">
        <f t="shared" si="16"/>
        <v>0</v>
      </c>
      <c r="V14" s="22">
        <f t="shared" si="17"/>
        <v>800000</v>
      </c>
      <c r="W14" s="22">
        <f t="shared" si="18"/>
        <v>96000</v>
      </c>
    </row>
    <row r="15" spans="2:24" ht="24" x14ac:dyDescent="0.25">
      <c r="B15" s="4" t="str">
        <f>'1. Presupuesto detallado'!B13</f>
        <v>Estudio de factibilidad y propuesta de diseño final de obras de mitigación en el tramo Vilcabamba - Bellavista del Eje Vial No.4</v>
      </c>
      <c r="C15" s="2"/>
      <c r="D15" s="2"/>
      <c r="E15" s="2"/>
      <c r="F15" s="2"/>
      <c r="G15" s="2">
        <v>0</v>
      </c>
      <c r="H15" s="2">
        <v>0</v>
      </c>
      <c r="I15" s="3">
        <f t="shared" ref="I15" si="25">G15+H15</f>
        <v>0</v>
      </c>
      <c r="J15" s="2">
        <v>0</v>
      </c>
      <c r="K15" s="2">
        <v>0</v>
      </c>
      <c r="L15" s="3">
        <f t="shared" ref="L15" si="26">J15+K15</f>
        <v>0</v>
      </c>
      <c r="M15" s="2">
        <v>0</v>
      </c>
      <c r="N15" s="2">
        <f t="shared" ref="N15" si="27">M15*12%</f>
        <v>0</v>
      </c>
      <c r="O15" s="23">
        <f t="shared" ref="O15" si="28">M15+N15</f>
        <v>0</v>
      </c>
      <c r="P15" s="2">
        <f>'1. Presupuesto detallado'!C13</f>
        <v>700000</v>
      </c>
      <c r="Q15" s="2">
        <f>P15*12%</f>
        <v>84000</v>
      </c>
      <c r="R15" s="3">
        <f t="shared" ref="R15" si="29">P15+Q15</f>
        <v>784000</v>
      </c>
      <c r="S15" s="2">
        <v>0</v>
      </c>
      <c r="T15" s="2">
        <v>0</v>
      </c>
      <c r="U15" s="3">
        <f t="shared" si="16"/>
        <v>0</v>
      </c>
      <c r="V15" s="22">
        <f t="shared" si="17"/>
        <v>700000</v>
      </c>
      <c r="W15" s="22">
        <f t="shared" si="18"/>
        <v>84000</v>
      </c>
    </row>
    <row r="16" spans="2:24" ht="24" x14ac:dyDescent="0.25">
      <c r="B16" s="42" t="str">
        <f>'1. Presupuesto detallado'!B14</f>
        <v>Talleres temas transversales de género, productividad y accesibilidad universal</v>
      </c>
      <c r="C16" s="10">
        <v>750000</v>
      </c>
      <c r="D16" s="10">
        <f>C16*12%</f>
        <v>90000</v>
      </c>
      <c r="E16" s="10">
        <f>+C16+D16</f>
        <v>840000</v>
      </c>
      <c r="F16" s="2">
        <f t="shared" si="3"/>
        <v>575000</v>
      </c>
      <c r="G16" s="2">
        <v>35000</v>
      </c>
      <c r="H16" s="2">
        <f>G16*12%</f>
        <v>4200</v>
      </c>
      <c r="I16" s="3">
        <f t="shared" si="4"/>
        <v>39200</v>
      </c>
      <c r="J16" s="2">
        <v>35000</v>
      </c>
      <c r="K16" s="2">
        <f>+J16*12%</f>
        <v>4200</v>
      </c>
      <c r="L16" s="3">
        <f>J16+K16</f>
        <v>39200</v>
      </c>
      <c r="M16" s="2">
        <v>35000</v>
      </c>
      <c r="N16" s="2">
        <f t="shared" ref="N16" si="30">M16*12%</f>
        <v>4200</v>
      </c>
      <c r="O16" s="23">
        <f t="shared" ref="O16" si="31">M16+N16</f>
        <v>39200</v>
      </c>
      <c r="P16" s="2">
        <v>35000</v>
      </c>
      <c r="Q16" s="2">
        <f>+P16*12%</f>
        <v>4200</v>
      </c>
      <c r="R16" s="3">
        <f t="shared" ref="R16" si="32">P16+Q16</f>
        <v>39200</v>
      </c>
      <c r="S16" s="2">
        <v>35000</v>
      </c>
      <c r="T16" s="2">
        <f>S16*12%</f>
        <v>4200</v>
      </c>
      <c r="U16" s="3">
        <f t="shared" ref="U16" si="33">S16+T16</f>
        <v>39200</v>
      </c>
      <c r="V16" s="22">
        <f t="shared" si="17"/>
        <v>175000</v>
      </c>
      <c r="W16" s="22">
        <f t="shared" si="18"/>
        <v>21000</v>
      </c>
    </row>
    <row r="17" spans="2:23" x14ac:dyDescent="0.25">
      <c r="B17" s="45" t="s">
        <v>37</v>
      </c>
      <c r="C17" s="46">
        <f>+C18+C20+C21</f>
        <v>250000</v>
      </c>
      <c r="D17" s="46">
        <f>+D18+D20+D21</f>
        <v>30000</v>
      </c>
      <c r="E17" s="48">
        <f>+C17+D17</f>
        <v>280000</v>
      </c>
      <c r="F17" s="48"/>
      <c r="G17" s="47">
        <v>0</v>
      </c>
      <c r="H17" s="47">
        <v>0</v>
      </c>
      <c r="I17" s="46">
        <f t="shared" si="4"/>
        <v>0</v>
      </c>
      <c r="J17" s="47"/>
      <c r="K17" s="47"/>
      <c r="L17" s="46"/>
      <c r="M17" s="47"/>
      <c r="N17" s="47"/>
      <c r="O17" s="46"/>
      <c r="P17" s="47"/>
      <c r="Q17" s="47"/>
      <c r="R17" s="46"/>
      <c r="S17" s="47"/>
      <c r="T17" s="47"/>
      <c r="U17" s="46"/>
      <c r="V17" s="46">
        <f>SUM(V18:V21)</f>
        <v>250000</v>
      </c>
      <c r="W17" s="46">
        <f>SUM(W18:W21)</f>
        <v>30000</v>
      </c>
    </row>
    <row r="18" spans="2:23" x14ac:dyDescent="0.25">
      <c r="B18" s="4" t="s">
        <v>38</v>
      </c>
      <c r="C18" s="2">
        <v>100000</v>
      </c>
      <c r="D18" s="2">
        <f>+C18*12%</f>
        <v>12000</v>
      </c>
      <c r="E18" s="10">
        <f>+C18+D18</f>
        <v>112000</v>
      </c>
      <c r="F18" s="2">
        <f t="shared" si="3"/>
        <v>0</v>
      </c>
      <c r="G18" s="2">
        <v>20000</v>
      </c>
      <c r="H18" s="2">
        <f>G18*12%</f>
        <v>2400</v>
      </c>
      <c r="I18" s="3">
        <f t="shared" si="4"/>
        <v>22400</v>
      </c>
      <c r="J18" s="2">
        <v>20000</v>
      </c>
      <c r="K18" s="2">
        <f>J18*12%</f>
        <v>2400</v>
      </c>
      <c r="L18" s="3">
        <f t="shared" ref="L18:L21" si="34">J18+K18</f>
        <v>22400</v>
      </c>
      <c r="M18" s="2">
        <v>20000</v>
      </c>
      <c r="N18" s="2">
        <f>M18*12%</f>
        <v>2400</v>
      </c>
      <c r="O18" s="3">
        <f t="shared" ref="O18:O19" si="35">M18+N18</f>
        <v>22400</v>
      </c>
      <c r="P18" s="2">
        <v>20000</v>
      </c>
      <c r="Q18" s="2">
        <f>P18*12%</f>
        <v>2400</v>
      </c>
      <c r="R18" s="3">
        <f t="shared" ref="R18:R21" si="36">P18+Q18</f>
        <v>22400</v>
      </c>
      <c r="S18" s="2">
        <v>20000</v>
      </c>
      <c r="T18" s="2">
        <f>S18*12%</f>
        <v>2400</v>
      </c>
      <c r="U18" s="3">
        <f t="shared" ref="U18:U20" si="37">S18+T18</f>
        <v>22400</v>
      </c>
      <c r="V18" s="22">
        <f t="shared" ref="V18:V23" si="38">G18+J18+M18+P18+S18</f>
        <v>100000</v>
      </c>
      <c r="W18" s="22">
        <f t="shared" ref="W18:W23" si="39">H18+K18+N18+Q18+T18</f>
        <v>12000</v>
      </c>
    </row>
    <row r="19" spans="2:23" x14ac:dyDescent="0.25">
      <c r="B19" s="4" t="s">
        <v>39</v>
      </c>
      <c r="C19" s="2"/>
      <c r="D19" s="10"/>
      <c r="E19" s="10">
        <f t="shared" ref="E19:E21" si="40">+C19+D19</f>
        <v>0</v>
      </c>
      <c r="F19" s="2">
        <f t="shared" si="3"/>
        <v>0</v>
      </c>
      <c r="G19" s="2">
        <v>0</v>
      </c>
      <c r="H19" s="2">
        <v>0</v>
      </c>
      <c r="I19" s="3">
        <f t="shared" si="4"/>
        <v>0</v>
      </c>
      <c r="J19" s="2">
        <v>0</v>
      </c>
      <c r="K19" s="2">
        <f t="shared" ref="K19" si="41">+J19*12%</f>
        <v>0</v>
      </c>
      <c r="L19" s="3">
        <f t="shared" si="34"/>
        <v>0</v>
      </c>
      <c r="M19" s="2">
        <v>0</v>
      </c>
      <c r="N19" s="2">
        <v>0</v>
      </c>
      <c r="O19" s="3">
        <f t="shared" si="35"/>
        <v>0</v>
      </c>
      <c r="P19" s="2">
        <v>0</v>
      </c>
      <c r="Q19" s="2">
        <v>0</v>
      </c>
      <c r="R19" s="3">
        <f t="shared" si="36"/>
        <v>0</v>
      </c>
      <c r="S19" s="2">
        <v>0</v>
      </c>
      <c r="T19" s="2">
        <v>0</v>
      </c>
      <c r="U19" s="3">
        <f t="shared" si="37"/>
        <v>0</v>
      </c>
      <c r="V19" s="22">
        <f t="shared" si="38"/>
        <v>0</v>
      </c>
      <c r="W19" s="22">
        <f t="shared" si="39"/>
        <v>0</v>
      </c>
    </row>
    <row r="20" spans="2:23" x14ac:dyDescent="0.25">
      <c r="B20" s="4" t="s">
        <v>40</v>
      </c>
      <c r="C20" s="2">
        <v>75000</v>
      </c>
      <c r="D20" s="2">
        <f>+C20*12%</f>
        <v>9000</v>
      </c>
      <c r="E20" s="10">
        <f t="shared" si="40"/>
        <v>84000</v>
      </c>
      <c r="F20" s="2">
        <f t="shared" si="3"/>
        <v>0</v>
      </c>
      <c r="G20" s="2">
        <v>0</v>
      </c>
      <c r="H20" s="2">
        <v>0</v>
      </c>
      <c r="I20" s="3">
        <f t="shared" si="4"/>
        <v>0</v>
      </c>
      <c r="J20" s="2">
        <v>0</v>
      </c>
      <c r="K20" s="2">
        <f t="shared" ref="K20" si="42">+J20*12%</f>
        <v>0</v>
      </c>
      <c r="L20" s="3">
        <f t="shared" si="34"/>
        <v>0</v>
      </c>
      <c r="M20" s="2">
        <f>C20</f>
        <v>75000</v>
      </c>
      <c r="N20" s="2">
        <f>M20*12%</f>
        <v>9000</v>
      </c>
      <c r="O20" s="3">
        <f>M20+N20</f>
        <v>84000</v>
      </c>
      <c r="P20" s="2">
        <v>0</v>
      </c>
      <c r="Q20" s="2">
        <v>0</v>
      </c>
      <c r="R20" s="3">
        <f t="shared" si="36"/>
        <v>0</v>
      </c>
      <c r="S20" s="2">
        <v>0</v>
      </c>
      <c r="T20" s="2">
        <v>0</v>
      </c>
      <c r="U20" s="3">
        <f t="shared" si="37"/>
        <v>0</v>
      </c>
      <c r="V20" s="22">
        <f t="shared" si="38"/>
        <v>75000</v>
      </c>
      <c r="W20" s="22">
        <f t="shared" si="39"/>
        <v>9000</v>
      </c>
    </row>
    <row r="21" spans="2:23" x14ac:dyDescent="0.25">
      <c r="B21" s="4" t="s">
        <v>42</v>
      </c>
      <c r="C21" s="2">
        <v>75000</v>
      </c>
      <c r="D21" s="2">
        <f>+C21*12%</f>
        <v>9000</v>
      </c>
      <c r="E21" s="10">
        <f t="shared" si="40"/>
        <v>84000</v>
      </c>
      <c r="F21" s="2">
        <f t="shared" si="3"/>
        <v>0</v>
      </c>
      <c r="G21" s="2">
        <v>0</v>
      </c>
      <c r="H21" s="2">
        <v>0</v>
      </c>
      <c r="I21" s="3">
        <f t="shared" si="4"/>
        <v>0</v>
      </c>
      <c r="J21" s="2">
        <v>0</v>
      </c>
      <c r="K21" s="2">
        <f t="shared" ref="K21" si="43">+J21*12%</f>
        <v>0</v>
      </c>
      <c r="L21" s="3">
        <f t="shared" si="34"/>
        <v>0</v>
      </c>
      <c r="M21" s="2">
        <v>0</v>
      </c>
      <c r="N21" s="2">
        <v>0</v>
      </c>
      <c r="O21" s="3">
        <f t="shared" ref="O21" si="44">M21+N21</f>
        <v>0</v>
      </c>
      <c r="P21" s="2">
        <v>0</v>
      </c>
      <c r="Q21" s="2">
        <v>0</v>
      </c>
      <c r="R21" s="3">
        <f t="shared" si="36"/>
        <v>0</v>
      </c>
      <c r="S21" s="2">
        <f>C21</f>
        <v>75000</v>
      </c>
      <c r="T21" s="2">
        <f>D21</f>
        <v>9000</v>
      </c>
      <c r="U21" s="3">
        <f>S21+T21</f>
        <v>84000</v>
      </c>
      <c r="V21" s="22">
        <f t="shared" si="38"/>
        <v>75000</v>
      </c>
      <c r="W21" s="22">
        <f t="shared" si="39"/>
        <v>9000</v>
      </c>
    </row>
    <row r="22" spans="2:23" x14ac:dyDescent="0.25">
      <c r="B22" s="45" t="s">
        <v>43</v>
      </c>
      <c r="C22" s="48">
        <f>+C23+C9+C10</f>
        <v>0</v>
      </c>
      <c r="D22" s="48">
        <f>+D23+D9+D10</f>
        <v>12300000</v>
      </c>
      <c r="E22" s="48">
        <f>+D22</f>
        <v>12300000</v>
      </c>
      <c r="F22" s="48"/>
      <c r="G22" s="47">
        <v>0</v>
      </c>
      <c r="H22" s="47">
        <v>0</v>
      </c>
      <c r="I22" s="46">
        <f t="shared" si="4"/>
        <v>0</v>
      </c>
      <c r="J22" s="47"/>
      <c r="K22" s="47"/>
      <c r="L22" s="46"/>
      <c r="M22" s="47"/>
      <c r="N22" s="47"/>
      <c r="O22" s="46"/>
      <c r="P22" s="47"/>
      <c r="Q22" s="47"/>
      <c r="R22" s="46"/>
      <c r="S22" s="47"/>
      <c r="T22" s="47"/>
      <c r="U22" s="46"/>
      <c r="V22" s="46">
        <f>SUM(V23:V26)</f>
        <v>0</v>
      </c>
      <c r="W22" s="46">
        <f>SUM(W23:W26)</f>
        <v>1200000</v>
      </c>
    </row>
    <row r="23" spans="2:23" x14ac:dyDescent="0.25">
      <c r="B23" s="4" t="s">
        <v>44</v>
      </c>
      <c r="C23" s="2">
        <v>0</v>
      </c>
      <c r="D23" s="2">
        <v>1800000</v>
      </c>
      <c r="E23" s="2">
        <f>+D23+C23</f>
        <v>1800000</v>
      </c>
      <c r="F23" s="2">
        <f t="shared" si="3"/>
        <v>0</v>
      </c>
      <c r="G23" s="2">
        <v>0</v>
      </c>
      <c r="H23" s="2">
        <v>1200000</v>
      </c>
      <c r="I23" s="3">
        <f t="shared" si="4"/>
        <v>1200000</v>
      </c>
      <c r="J23" s="2">
        <v>0</v>
      </c>
      <c r="K23" s="2">
        <f t="shared" ref="K23" si="45">+J23*12%</f>
        <v>0</v>
      </c>
      <c r="L23" s="3">
        <f t="shared" ref="L23" si="46">J23+K23</f>
        <v>0</v>
      </c>
      <c r="M23" s="2">
        <v>0</v>
      </c>
      <c r="N23" s="2">
        <f t="shared" ref="N23" si="47">+M23*12%</f>
        <v>0</v>
      </c>
      <c r="O23" s="3">
        <f t="shared" ref="O23" si="48">M23+N23</f>
        <v>0</v>
      </c>
      <c r="P23" s="2">
        <v>0</v>
      </c>
      <c r="Q23" s="2">
        <f t="shared" ref="Q23:T23" si="49">+P23*12%</f>
        <v>0</v>
      </c>
      <c r="R23" s="3">
        <f t="shared" ref="R23" si="50">P23+Q23</f>
        <v>0</v>
      </c>
      <c r="S23" s="2">
        <v>0</v>
      </c>
      <c r="T23" s="2">
        <f t="shared" si="49"/>
        <v>0</v>
      </c>
      <c r="U23" s="3">
        <f t="shared" ref="U23" si="51">S23+T23</f>
        <v>0</v>
      </c>
      <c r="V23" s="22">
        <f t="shared" si="38"/>
        <v>0</v>
      </c>
      <c r="W23" s="22">
        <f t="shared" si="39"/>
        <v>1200000</v>
      </c>
    </row>
    <row r="28" spans="2:23" x14ac:dyDescent="0.25">
      <c r="G28" s="70">
        <f>G7*12%</f>
        <v>2580000</v>
      </c>
      <c r="H28" s="70">
        <f>G8*12%</f>
        <v>129000</v>
      </c>
    </row>
    <row r="29" spans="2:23" x14ac:dyDescent="0.25">
      <c r="G29" s="70">
        <f>G28/4</f>
        <v>645000</v>
      </c>
      <c r="H29" s="70">
        <f>H28/4</f>
        <v>32250</v>
      </c>
    </row>
  </sheetData>
  <mergeCells count="8">
    <mergeCell ref="V2:W3"/>
    <mergeCell ref="S3:U3"/>
    <mergeCell ref="G2:U2"/>
    <mergeCell ref="B2:E3"/>
    <mergeCell ref="G3:I3"/>
    <mergeCell ref="J3:L3"/>
    <mergeCell ref="M3:O3"/>
    <mergeCell ref="P3:R3"/>
  </mergeCells>
  <pageMargins left="0.7" right="0.7" top="0.75" bottom="0.75" header="0.3" footer="0.3"/>
  <pageSetup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C8948-C032-4215-9C9E-72BDEBB1D9D0}">
  <dimension ref="C4:K21"/>
  <sheetViews>
    <sheetView tabSelected="1" workbookViewId="0">
      <selection activeCell="C4" sqref="C4:G21"/>
    </sheetView>
  </sheetViews>
  <sheetFormatPr defaultRowHeight="15" x14ac:dyDescent="0.25"/>
  <cols>
    <col min="1" max="2" width="9.140625" style="1"/>
    <col min="3" max="3" width="52.140625" style="1" customWidth="1"/>
    <col min="4" max="4" width="10.85546875" style="1" bestFit="1" customWidth="1"/>
    <col min="5" max="5" width="11.28515625" style="1" bestFit="1" customWidth="1"/>
    <col min="6" max="6" width="10.85546875" style="1" bestFit="1" customWidth="1"/>
    <col min="7" max="7" width="7" style="1" bestFit="1" customWidth="1"/>
    <col min="8" max="8" width="9.140625" style="1"/>
    <col min="9" max="9" width="14.28515625" style="1" bestFit="1" customWidth="1"/>
    <col min="10" max="10" width="9.140625" style="1"/>
    <col min="11" max="11" width="11.5703125" style="1" bestFit="1" customWidth="1"/>
    <col min="12" max="16384" width="9.140625" style="1"/>
  </cols>
  <sheetData>
    <row r="4" spans="3:11" x14ac:dyDescent="0.25"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</row>
    <row r="5" spans="3:11" ht="24" x14ac:dyDescent="0.25">
      <c r="C5" s="6" t="s">
        <v>23</v>
      </c>
      <c r="D5" s="137">
        <f>SUM(D6:D8)</f>
        <v>125775000</v>
      </c>
      <c r="E5" s="138">
        <f>SUM(E6:E8)</f>
        <v>15093000</v>
      </c>
      <c r="F5" s="138">
        <f>+D5+E5</f>
        <v>140868000</v>
      </c>
      <c r="G5" s="11">
        <f>F5/F21</f>
        <v>0.97295281246546583</v>
      </c>
    </row>
    <row r="6" spans="3:11" ht="24" x14ac:dyDescent="0.25">
      <c r="C6" s="4" t="s">
        <v>25</v>
      </c>
      <c r="D6" s="139">
        <v>107500000</v>
      </c>
      <c r="E6" s="139">
        <f>+D6*12%</f>
        <v>12900000</v>
      </c>
      <c r="F6" s="139">
        <f>+D6+E6</f>
        <v>120400000</v>
      </c>
      <c r="G6" s="12">
        <f>+F6/F$21</f>
        <v>0.83158360039783397</v>
      </c>
    </row>
    <row r="7" spans="3:11" ht="36" x14ac:dyDescent="0.25">
      <c r="C7" s="4" t="s">
        <v>27</v>
      </c>
      <c r="D7" s="139">
        <f>D6*5%</f>
        <v>5375000</v>
      </c>
      <c r="E7" s="139">
        <f>+D7*12%</f>
        <v>645000</v>
      </c>
      <c r="F7" s="139">
        <f>+D7+E7</f>
        <v>6020000</v>
      </c>
      <c r="G7" s="12">
        <f>+F7/F$21</f>
        <v>4.15791800198917E-2</v>
      </c>
    </row>
    <row r="8" spans="3:11" x14ac:dyDescent="0.25">
      <c r="C8" s="4" t="s">
        <v>116</v>
      </c>
      <c r="D8" s="139">
        <v>12900000</v>
      </c>
      <c r="E8" s="139">
        <v>1548000</v>
      </c>
      <c r="F8" s="139">
        <f t="shared" ref="F8" si="0">+D8+E8</f>
        <v>14448000</v>
      </c>
      <c r="G8" s="12">
        <f>+F8/F$21</f>
        <v>9.9790032047740077E-2</v>
      </c>
      <c r="I8" s="145"/>
      <c r="J8" s="145"/>
      <c r="K8" s="145"/>
    </row>
    <row r="9" spans="3:11" ht="24" x14ac:dyDescent="0.25">
      <c r="C9" s="6" t="s">
        <v>31</v>
      </c>
      <c r="D9" s="137">
        <f>SUM(D10:D14)</f>
        <v>2175000</v>
      </c>
      <c r="E9" s="137">
        <f t="shared" ref="E9:F9" si="1">SUM(E10:E14)</f>
        <v>261000</v>
      </c>
      <c r="F9" s="137">
        <f t="shared" si="1"/>
        <v>2436000</v>
      </c>
      <c r="G9" s="11">
        <f>+F9/F21</f>
        <v>1.6825063542932922E-2</v>
      </c>
    </row>
    <row r="10" spans="3:11" ht="24" x14ac:dyDescent="0.25">
      <c r="C10" s="4" t="s">
        <v>32</v>
      </c>
      <c r="D10" s="139">
        <v>200000</v>
      </c>
      <c r="E10" s="139">
        <f>D10*12%</f>
        <v>24000</v>
      </c>
      <c r="F10" s="139">
        <f>D10+E10</f>
        <v>224000</v>
      </c>
      <c r="G10" s="12">
        <f>+F10/F$21</f>
        <v>1.5471322798099238E-3</v>
      </c>
    </row>
    <row r="11" spans="3:11" x14ac:dyDescent="0.25">
      <c r="C11" s="4" t="s">
        <v>33</v>
      </c>
      <c r="D11" s="139">
        <v>300000</v>
      </c>
      <c r="E11" s="139">
        <f t="shared" ref="E11:E14" si="2">D11*12%</f>
        <v>36000</v>
      </c>
      <c r="F11" s="139">
        <f t="shared" ref="F11:F14" si="3">D11+E11</f>
        <v>336000</v>
      </c>
      <c r="G11" s="12">
        <f>+F11/F$21</f>
        <v>2.3206984197148856E-3</v>
      </c>
    </row>
    <row r="12" spans="3:11" ht="24" x14ac:dyDescent="0.25">
      <c r="C12" s="4" t="s">
        <v>34</v>
      </c>
      <c r="D12" s="139">
        <v>800000</v>
      </c>
      <c r="E12" s="139">
        <f t="shared" si="2"/>
        <v>96000</v>
      </c>
      <c r="F12" s="139">
        <f t="shared" si="3"/>
        <v>896000</v>
      </c>
      <c r="G12" s="12">
        <f>+F12/F$21</f>
        <v>6.1885291192396953E-3</v>
      </c>
    </row>
    <row r="13" spans="3:11" ht="24" x14ac:dyDescent="0.25">
      <c r="C13" s="4" t="s">
        <v>35</v>
      </c>
      <c r="D13" s="139">
        <v>700000</v>
      </c>
      <c r="E13" s="139">
        <f t="shared" si="2"/>
        <v>84000</v>
      </c>
      <c r="F13" s="139">
        <f t="shared" si="3"/>
        <v>784000</v>
      </c>
      <c r="G13" s="12">
        <f>+F13/F$21</f>
        <v>5.4149629793347328E-3</v>
      </c>
    </row>
    <row r="14" spans="3:11" ht="24" x14ac:dyDescent="0.25">
      <c r="C14" s="4" t="s">
        <v>36</v>
      </c>
      <c r="D14" s="139">
        <v>175000</v>
      </c>
      <c r="E14" s="139">
        <f t="shared" si="2"/>
        <v>21000</v>
      </c>
      <c r="F14" s="139">
        <f t="shared" si="3"/>
        <v>196000</v>
      </c>
      <c r="G14" s="12">
        <f>+F14/F$21</f>
        <v>1.3537407448336832E-3</v>
      </c>
    </row>
    <row r="15" spans="3:11" x14ac:dyDescent="0.25">
      <c r="C15" s="35" t="s">
        <v>37</v>
      </c>
      <c r="D15" s="140">
        <f>+D16+D17+D18</f>
        <v>250000</v>
      </c>
      <c r="E15" s="140">
        <f>+E16+E17+E18</f>
        <v>30000</v>
      </c>
      <c r="F15" s="141">
        <f>+D15+E15</f>
        <v>280000</v>
      </c>
      <c r="G15" s="34">
        <f>+F15/F21</f>
        <v>1.9339153497624046E-3</v>
      </c>
    </row>
    <row r="16" spans="3:11" x14ac:dyDescent="0.25">
      <c r="C16" s="4" t="s">
        <v>38</v>
      </c>
      <c r="D16" s="139">
        <v>100000</v>
      </c>
      <c r="E16" s="139">
        <f>+D16*12%</f>
        <v>12000</v>
      </c>
      <c r="F16" s="142">
        <f>+D16+E16</f>
        <v>112000</v>
      </c>
      <c r="G16" s="12">
        <f>+F16/F$21</f>
        <v>7.7356613990496191E-4</v>
      </c>
    </row>
    <row r="17" spans="3:7" x14ac:dyDescent="0.25">
      <c r="C17" s="4" t="s">
        <v>40</v>
      </c>
      <c r="D17" s="139">
        <v>75000</v>
      </c>
      <c r="E17" s="139">
        <f>+D17*12%</f>
        <v>9000</v>
      </c>
      <c r="F17" s="142">
        <f t="shared" ref="F17:F18" si="4">+D17+E17</f>
        <v>84000</v>
      </c>
      <c r="G17" s="12">
        <f>+F17/F$21</f>
        <v>5.8017460492872141E-4</v>
      </c>
    </row>
    <row r="18" spans="3:7" x14ac:dyDescent="0.25">
      <c r="C18" s="4" t="s">
        <v>42</v>
      </c>
      <c r="D18" s="139">
        <v>75000</v>
      </c>
      <c r="E18" s="139">
        <f>+D18*12%</f>
        <v>9000</v>
      </c>
      <c r="F18" s="142">
        <f t="shared" si="4"/>
        <v>84000</v>
      </c>
      <c r="G18" s="12">
        <f>+F18/F$21</f>
        <v>5.8017460492872141E-4</v>
      </c>
    </row>
    <row r="19" spans="3:7" x14ac:dyDescent="0.25">
      <c r="C19" s="6" t="s">
        <v>43</v>
      </c>
      <c r="D19" s="137">
        <f>D20</f>
        <v>0</v>
      </c>
      <c r="E19" s="137">
        <f>E20</f>
        <v>1200000</v>
      </c>
      <c r="F19" s="137">
        <f>D19+E19</f>
        <v>1200000</v>
      </c>
      <c r="G19" s="11">
        <f>+F19/F21</f>
        <v>8.2882086418388772E-3</v>
      </c>
    </row>
    <row r="20" spans="3:7" x14ac:dyDescent="0.25">
      <c r="C20" s="4" t="s">
        <v>44</v>
      </c>
      <c r="D20" s="139">
        <v>0</v>
      </c>
      <c r="E20" s="139">
        <v>1200000</v>
      </c>
      <c r="F20" s="139">
        <f>+E20+D20</f>
        <v>1200000</v>
      </c>
      <c r="G20" s="12">
        <f>+F20/F$21</f>
        <v>8.2882086418388772E-3</v>
      </c>
    </row>
    <row r="21" spans="3:7" x14ac:dyDescent="0.25">
      <c r="C21" s="13" t="s">
        <v>45</v>
      </c>
      <c r="D21" s="143">
        <f>D15+D9+D5+D19</f>
        <v>128200000</v>
      </c>
      <c r="E21" s="143">
        <f>E15+E9+E5+E19</f>
        <v>16584000</v>
      </c>
      <c r="F21" s="143">
        <f>F15+F9+F5+F19</f>
        <v>144784000</v>
      </c>
      <c r="G21" s="144">
        <f>G15+G9+G5+G19</f>
        <v>1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R31"/>
  <sheetViews>
    <sheetView topLeftCell="E1" zoomScale="70" zoomScaleNormal="70" workbookViewId="0">
      <selection activeCell="E18" sqref="E18"/>
    </sheetView>
  </sheetViews>
  <sheetFormatPr defaultColWidth="9.140625" defaultRowHeight="12" x14ac:dyDescent="0.25"/>
  <cols>
    <col min="1" max="1" width="6.42578125" style="14" customWidth="1"/>
    <col min="2" max="2" width="14.28515625" style="56" customWidth="1"/>
    <col min="3" max="3" width="41.42578125" style="16" customWidth="1"/>
    <col min="4" max="4" width="20.5703125" style="56" bestFit="1" customWidth="1"/>
    <col min="5" max="5" width="16.85546875" style="56" bestFit="1" customWidth="1"/>
    <col min="6" max="6" width="18.42578125" style="14" customWidth="1"/>
    <col min="7" max="7" width="18.5703125" style="14" customWidth="1"/>
    <col min="8" max="9" width="15.140625" style="14" customWidth="1"/>
    <col min="10" max="11" width="18.85546875" style="14" customWidth="1"/>
    <col min="12" max="12" width="47.85546875" style="16" customWidth="1"/>
    <col min="13" max="13" width="20.42578125" style="56" customWidth="1"/>
    <col min="14" max="14" width="15.5703125" style="14" bestFit="1" customWidth="1"/>
    <col min="15" max="15" width="12.5703125" style="14" customWidth="1"/>
    <col min="16" max="16" width="17" style="14" customWidth="1"/>
    <col min="17" max="16384" width="9.140625" style="14"/>
  </cols>
  <sheetData>
    <row r="2" spans="2:18" x14ac:dyDescent="0.25">
      <c r="B2" s="132" t="s">
        <v>82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59"/>
      <c r="R2" s="59"/>
    </row>
    <row r="3" spans="2:18" x14ac:dyDescent="0.25">
      <c r="B3" s="133" t="s">
        <v>83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34"/>
      <c r="Q3" s="59"/>
      <c r="R3" s="59"/>
    </row>
    <row r="4" spans="2:18" x14ac:dyDescent="0.25">
      <c r="B4" s="135" t="s">
        <v>84</v>
      </c>
      <c r="C4" s="129" t="s">
        <v>85</v>
      </c>
      <c r="D4" s="129" t="s">
        <v>86</v>
      </c>
      <c r="E4" s="129" t="s">
        <v>87</v>
      </c>
      <c r="F4" s="129" t="s">
        <v>88</v>
      </c>
      <c r="G4" s="130" t="s">
        <v>89</v>
      </c>
      <c r="H4" s="130"/>
      <c r="I4" s="130"/>
      <c r="J4" s="130"/>
      <c r="K4" s="130"/>
      <c r="L4" s="129" t="s">
        <v>90</v>
      </c>
      <c r="M4" s="129" t="s">
        <v>91</v>
      </c>
      <c r="N4" s="129" t="s">
        <v>92</v>
      </c>
      <c r="O4" s="129"/>
      <c r="P4" s="136" t="s">
        <v>93</v>
      </c>
      <c r="Q4" s="59"/>
      <c r="R4" s="59"/>
    </row>
    <row r="5" spans="2:18" ht="36" x14ac:dyDescent="0.25">
      <c r="B5" s="135"/>
      <c r="C5" s="129"/>
      <c r="D5" s="129"/>
      <c r="E5" s="129"/>
      <c r="F5" s="129"/>
      <c r="G5" s="52" t="s">
        <v>94</v>
      </c>
      <c r="H5" s="52" t="s">
        <v>95</v>
      </c>
      <c r="I5" s="52" t="s">
        <v>96</v>
      </c>
      <c r="J5" s="53" t="s">
        <v>97</v>
      </c>
      <c r="K5" s="53" t="s">
        <v>98</v>
      </c>
      <c r="L5" s="129"/>
      <c r="M5" s="129"/>
      <c r="N5" s="54" t="s">
        <v>99</v>
      </c>
      <c r="O5" s="54" t="s">
        <v>100</v>
      </c>
      <c r="P5" s="136"/>
      <c r="Q5" s="59"/>
      <c r="R5" s="59"/>
    </row>
    <row r="6" spans="2:18" ht="24" x14ac:dyDescent="0.25">
      <c r="B6" s="55" t="s">
        <v>101</v>
      </c>
      <c r="C6" s="49" t="str">
        <f>+'4.PEP Plurianual '!B7</f>
        <v xml:space="preserve">Obra de rehabilitación y construcción de variantes tramo Bellavista-Zumba-La Balsa </v>
      </c>
      <c r="D6" s="57" t="s">
        <v>102</v>
      </c>
      <c r="E6" s="57">
        <v>0</v>
      </c>
      <c r="F6" s="50" t="s">
        <v>103</v>
      </c>
      <c r="G6" s="50">
        <f>'1. Presupuesto detallado'!E5</f>
        <v>120400000</v>
      </c>
      <c r="H6" s="50">
        <f>'1. Presupuesto detallado'!C5</f>
        <v>107500000</v>
      </c>
      <c r="I6" s="50">
        <f>H6*12%</f>
        <v>12900000</v>
      </c>
      <c r="J6" s="51">
        <f>H6/G6</f>
        <v>0.8928571428571429</v>
      </c>
      <c r="K6" s="51">
        <f>'1. Presupuesto detallado'!D5/'5. Plan Adquisiciones'!G6</f>
        <v>0.10714285714285714</v>
      </c>
      <c r="L6" s="62" t="str">
        <f>'1. Presupuesto detallado'!B4</f>
        <v xml:space="preserve">Componente 1.- Obras Civiles, fiscalización y auditoría de seguridad vial </v>
      </c>
      <c r="M6" s="41" t="s">
        <v>104</v>
      </c>
      <c r="N6" s="88">
        <v>44166</v>
      </c>
      <c r="O6" s="60">
        <v>44105</v>
      </c>
      <c r="P6" s="19"/>
    </row>
    <row r="7" spans="2:18" x14ac:dyDescent="0.25">
      <c r="K7" s="61"/>
    </row>
    <row r="8" spans="2:18" x14ac:dyDescent="0.25">
      <c r="B8" s="131" t="s">
        <v>105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</row>
    <row r="9" spans="2:18" x14ac:dyDescent="0.25">
      <c r="B9" s="129" t="s">
        <v>84</v>
      </c>
      <c r="C9" s="129" t="s">
        <v>85</v>
      </c>
      <c r="D9" s="129" t="s">
        <v>86</v>
      </c>
      <c r="E9" s="129" t="s">
        <v>87</v>
      </c>
      <c r="F9" s="129" t="s">
        <v>88</v>
      </c>
      <c r="G9" s="130" t="s">
        <v>89</v>
      </c>
      <c r="H9" s="130"/>
      <c r="I9" s="130"/>
      <c r="J9" s="130"/>
      <c r="K9" s="130"/>
      <c r="L9" s="129" t="s">
        <v>90</v>
      </c>
      <c r="M9" s="129" t="s">
        <v>91</v>
      </c>
      <c r="N9" s="129" t="s">
        <v>92</v>
      </c>
      <c r="O9" s="129"/>
      <c r="P9" s="129" t="s">
        <v>93</v>
      </c>
    </row>
    <row r="10" spans="2:18" ht="36" x14ac:dyDescent="0.25">
      <c r="B10" s="129"/>
      <c r="C10" s="129"/>
      <c r="D10" s="129"/>
      <c r="E10" s="129"/>
      <c r="F10" s="129"/>
      <c r="G10" s="52" t="s">
        <v>94</v>
      </c>
      <c r="H10" s="52" t="s">
        <v>95</v>
      </c>
      <c r="I10" s="52" t="s">
        <v>96</v>
      </c>
      <c r="J10" s="53" t="s">
        <v>97</v>
      </c>
      <c r="K10" s="53" t="s">
        <v>98</v>
      </c>
      <c r="L10" s="129"/>
      <c r="M10" s="129"/>
      <c r="N10" s="54" t="s">
        <v>99</v>
      </c>
      <c r="O10" s="54" t="s">
        <v>100</v>
      </c>
      <c r="P10" s="129"/>
    </row>
    <row r="11" spans="2:18" ht="36" x14ac:dyDescent="0.25">
      <c r="B11" s="57" t="s">
        <v>101</v>
      </c>
      <c r="C11" s="50" t="str">
        <f>'1. Presupuesto detallado'!N10</f>
        <v>Adquisición, instalación y mantenimiento de equipos y software para el Sistema de Alerta Temprana (SAT)</v>
      </c>
      <c r="D11" s="58" t="s">
        <v>102</v>
      </c>
      <c r="E11" s="57" t="s">
        <v>103</v>
      </c>
      <c r="F11" s="50" t="s">
        <v>103</v>
      </c>
      <c r="G11" s="50">
        <f>'1. Presupuesto detallado'!T10</f>
        <v>224000</v>
      </c>
      <c r="H11" s="50">
        <f>'1. Presupuesto detallado'!R10</f>
        <v>200000</v>
      </c>
      <c r="I11" s="50">
        <f>H11*12%</f>
        <v>24000</v>
      </c>
      <c r="J11" s="51">
        <f>H11/G11</f>
        <v>0.8928571428571429</v>
      </c>
      <c r="K11" s="51">
        <f>I11/G11</f>
        <v>0.10714285714285714</v>
      </c>
      <c r="L11" s="62" t="str">
        <f>'1. Presupuesto detallado'!B9</f>
        <v xml:space="preserve">Componente 2.- Gestión de riesgos de desastres y temas transversales </v>
      </c>
      <c r="M11" s="41" t="s">
        <v>104</v>
      </c>
      <c r="N11" s="88">
        <v>44166</v>
      </c>
      <c r="O11" s="60">
        <v>44682</v>
      </c>
      <c r="P11" s="19"/>
    </row>
    <row r="13" spans="2:18" x14ac:dyDescent="0.25">
      <c r="B13" s="131" t="s">
        <v>106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</row>
    <row r="14" spans="2:18" x14ac:dyDescent="0.25">
      <c r="B14" s="129" t="s">
        <v>84</v>
      </c>
      <c r="C14" s="129" t="s">
        <v>85</v>
      </c>
      <c r="D14" s="129" t="s">
        <v>86</v>
      </c>
      <c r="E14" s="129" t="s">
        <v>87</v>
      </c>
      <c r="F14" s="129" t="s">
        <v>88</v>
      </c>
      <c r="G14" s="130" t="s">
        <v>89</v>
      </c>
      <c r="H14" s="130"/>
      <c r="I14" s="130"/>
      <c r="J14" s="130"/>
      <c r="K14" s="130"/>
      <c r="L14" s="129" t="s">
        <v>90</v>
      </c>
      <c r="M14" s="129" t="s">
        <v>91</v>
      </c>
      <c r="N14" s="129" t="s">
        <v>92</v>
      </c>
      <c r="O14" s="129"/>
      <c r="P14" s="129" t="s">
        <v>93</v>
      </c>
    </row>
    <row r="15" spans="2:18" ht="36" x14ac:dyDescent="0.25">
      <c r="B15" s="129"/>
      <c r="C15" s="129"/>
      <c r="D15" s="129"/>
      <c r="E15" s="129"/>
      <c r="F15" s="129"/>
      <c r="G15" s="52" t="s">
        <v>94</v>
      </c>
      <c r="H15" s="52" t="s">
        <v>95</v>
      </c>
      <c r="I15" s="52" t="s">
        <v>96</v>
      </c>
      <c r="J15" s="53" t="s">
        <v>97</v>
      </c>
      <c r="K15" s="53" t="s">
        <v>98</v>
      </c>
      <c r="L15" s="129"/>
      <c r="M15" s="129"/>
      <c r="N15" s="54" t="s">
        <v>99</v>
      </c>
      <c r="O15" s="54" t="s">
        <v>100</v>
      </c>
      <c r="P15" s="129"/>
    </row>
    <row r="16" spans="2:18" ht="51" customHeight="1" x14ac:dyDescent="0.25">
      <c r="B16" s="57" t="s">
        <v>101</v>
      </c>
      <c r="C16" s="49" t="str">
        <f>'1. Presupuesto detallado'!B6</f>
        <v>Fiscalización de la Obra de rehabilitación y construcción de variantes tramo Bellavista-Zumba-La Balsa (incluye replanteo y nivelación de la vía, y auditoría de seguridad vial)</v>
      </c>
      <c r="D16" s="58" t="s">
        <v>107</v>
      </c>
      <c r="E16" s="57">
        <v>0</v>
      </c>
      <c r="F16" s="50" t="s">
        <v>108</v>
      </c>
      <c r="G16" s="50">
        <f>'1. Presupuesto detallado'!E6</f>
        <v>6020000</v>
      </c>
      <c r="H16" s="50">
        <f>'1. Presupuesto detallado'!C6</f>
        <v>5375000</v>
      </c>
      <c r="I16" s="50">
        <f>'1. Presupuesto detallado'!D6</f>
        <v>645000</v>
      </c>
      <c r="J16" s="51">
        <f>H16/G16</f>
        <v>0.8928571428571429</v>
      </c>
      <c r="K16" s="51">
        <f>I16/G16</f>
        <v>0.10714285714285714</v>
      </c>
      <c r="L16" s="62" t="str">
        <f>'1. Presupuesto detallado'!B4</f>
        <v xml:space="preserve">Componente 1.- Obras Civiles, fiscalización y auditoría de seguridad vial </v>
      </c>
      <c r="M16" s="41" t="s">
        <v>104</v>
      </c>
      <c r="N16" s="88">
        <v>44136</v>
      </c>
      <c r="O16" s="60">
        <v>44105</v>
      </c>
      <c r="P16" s="19"/>
    </row>
    <row r="17" spans="2:16" ht="24" x14ac:dyDescent="0.25">
      <c r="B17" s="57" t="s">
        <v>101</v>
      </c>
      <c r="C17" s="63" t="str">
        <f>'1. Presupuesto detallado'!U11</f>
        <v>Desarrollo de software y capacitación para la operación del SAT</v>
      </c>
      <c r="D17" s="41" t="s">
        <v>107</v>
      </c>
      <c r="E17" s="41">
        <v>0</v>
      </c>
      <c r="F17" s="50" t="s">
        <v>108</v>
      </c>
      <c r="G17" s="22">
        <f>'1. Presupuesto detallado'!AA11</f>
        <v>336000</v>
      </c>
      <c r="H17" s="50">
        <f>'1. Presupuesto detallado'!Y11</f>
        <v>300000</v>
      </c>
      <c r="I17" s="50">
        <f>'1. Presupuesto detallado'!Z11</f>
        <v>36000</v>
      </c>
      <c r="J17" s="51">
        <f>H17/G17</f>
        <v>0.8928571428571429</v>
      </c>
      <c r="K17" s="51">
        <f>I17/G17</f>
        <v>0.10714285714285714</v>
      </c>
      <c r="L17" s="62" t="str">
        <f>L11</f>
        <v xml:space="preserve">Componente 2.- Gestión de riesgos de desastres y temas transversales </v>
      </c>
      <c r="M17" s="41" t="s">
        <v>104</v>
      </c>
      <c r="N17" s="88">
        <v>44197</v>
      </c>
      <c r="O17" s="60">
        <v>44409</v>
      </c>
      <c r="P17" s="19"/>
    </row>
    <row r="18" spans="2:16" ht="24" x14ac:dyDescent="0.25">
      <c r="B18" s="57" t="s">
        <v>101</v>
      </c>
      <c r="C18" s="63" t="str">
        <f>'1. Presupuesto detallado'!U12</f>
        <v>Estudio de evaluación de eficiencia y utilidad de infraestructura verde o hibrida</v>
      </c>
      <c r="D18" s="41" t="s">
        <v>107</v>
      </c>
      <c r="E18" s="41">
        <v>0</v>
      </c>
      <c r="F18" s="50" t="s">
        <v>108</v>
      </c>
      <c r="G18" s="22">
        <f>'1. Presupuesto detallado'!AA12</f>
        <v>896000</v>
      </c>
      <c r="H18" s="50">
        <f>'1. Presupuesto detallado'!V12</f>
        <v>800000</v>
      </c>
      <c r="I18" s="50">
        <f>'1. Presupuesto detallado'!Z12</f>
        <v>96000</v>
      </c>
      <c r="J18" s="51">
        <f>H18/G18</f>
        <v>0.8928571428571429</v>
      </c>
      <c r="K18" s="51">
        <f>I18/G18</f>
        <v>0.10714285714285714</v>
      </c>
      <c r="L18" s="63" t="str">
        <f>L17</f>
        <v xml:space="preserve">Componente 2.- Gestión de riesgos de desastres y temas transversales </v>
      </c>
      <c r="M18" s="41" t="s">
        <v>104</v>
      </c>
      <c r="N18" s="88">
        <v>44927</v>
      </c>
      <c r="O18" s="60">
        <v>44835</v>
      </c>
      <c r="P18" s="19"/>
    </row>
    <row r="19" spans="2:16" ht="36" x14ac:dyDescent="0.25">
      <c r="B19" s="57" t="s">
        <v>101</v>
      </c>
      <c r="C19" s="63" t="str">
        <f>'1. Presupuesto detallado'!U13</f>
        <v>Estudio de factibilidad y propuesta de diseño final de obras de mitigación en el tramo Vilcabamba - Bellavista del Eje Vial No.4</v>
      </c>
      <c r="D19" s="41" t="s">
        <v>109</v>
      </c>
      <c r="E19" s="41">
        <v>0</v>
      </c>
      <c r="F19" s="50" t="s">
        <v>108</v>
      </c>
      <c r="G19" s="22">
        <f>'1. Presupuesto detallado'!AA13</f>
        <v>784000</v>
      </c>
      <c r="H19" s="22">
        <f>'1. Presupuesto detallado'!V13</f>
        <v>700000</v>
      </c>
      <c r="I19" s="87">
        <v>84000</v>
      </c>
      <c r="J19" s="51">
        <f t="shared" ref="J19" si="0">H19/G19</f>
        <v>0.8928571428571429</v>
      </c>
      <c r="K19" s="51">
        <f>I19/G19</f>
        <v>0.10714285714285714</v>
      </c>
      <c r="L19" s="63" t="str">
        <f>'4.PEP Plurianual '!B11</f>
        <v xml:space="preserve">Componente 2.- Gestión de riesgos de desastres y temas transversales </v>
      </c>
      <c r="M19" s="41" t="s">
        <v>104</v>
      </c>
      <c r="N19" s="88">
        <v>44927</v>
      </c>
      <c r="O19" s="60">
        <v>44835</v>
      </c>
      <c r="P19" s="19"/>
    </row>
    <row r="20" spans="2:16" x14ac:dyDescent="0.2">
      <c r="B20" s="41" t="s">
        <v>101</v>
      </c>
      <c r="C20" s="64" t="str">
        <f>'1. Presupuesto detallado'!U16</f>
        <v>Auditorías</v>
      </c>
      <c r="D20" s="86" t="s">
        <v>110</v>
      </c>
      <c r="E20" s="41">
        <v>0</v>
      </c>
      <c r="F20" s="19" t="s">
        <v>108</v>
      </c>
      <c r="G20" s="22">
        <f>'1. Presupuesto detallado'!AA16</f>
        <v>112000</v>
      </c>
      <c r="H20" s="22">
        <f>'1. Presupuesto detallado'!Y16</f>
        <v>100000</v>
      </c>
      <c r="I20" s="22">
        <f>'1. Presupuesto detallado'!Z16</f>
        <v>12000</v>
      </c>
      <c r="J20" s="51">
        <f t="shared" ref="J20" si="1">H20/G20</f>
        <v>0.8928571428571429</v>
      </c>
      <c r="K20" s="51">
        <f t="shared" ref="K20" si="2">I20/G20</f>
        <v>0.10714285714285714</v>
      </c>
      <c r="L20" s="63" t="str">
        <f>'1. Presupuesto detallado'!B15</f>
        <v>Costos Administrativos</v>
      </c>
      <c r="M20" s="41" t="s">
        <v>111</v>
      </c>
      <c r="N20" s="88">
        <v>44166</v>
      </c>
      <c r="O20" s="60">
        <v>44105</v>
      </c>
      <c r="P20" s="19"/>
    </row>
    <row r="21" spans="2:16" s="81" customFormat="1" x14ac:dyDescent="0.2">
      <c r="B21" s="78"/>
      <c r="C21" s="79"/>
      <c r="D21" s="80"/>
      <c r="E21" s="78"/>
      <c r="G21" s="82"/>
      <c r="H21" s="82"/>
      <c r="I21" s="82"/>
      <c r="J21" s="83"/>
      <c r="K21" s="83"/>
      <c r="L21" s="84"/>
      <c r="M21" s="78"/>
      <c r="N21" s="85"/>
      <c r="O21" s="85"/>
    </row>
    <row r="22" spans="2:16" x14ac:dyDescent="0.25">
      <c r="B22" s="128" t="s">
        <v>112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</row>
    <row r="23" spans="2:16" x14ac:dyDescent="0.25">
      <c r="B23" s="129" t="s">
        <v>84</v>
      </c>
      <c r="C23" s="129" t="s">
        <v>85</v>
      </c>
      <c r="D23" s="129" t="s">
        <v>86</v>
      </c>
      <c r="E23" s="129" t="s">
        <v>87</v>
      </c>
      <c r="F23" s="129" t="s">
        <v>88</v>
      </c>
      <c r="G23" s="130" t="s">
        <v>89</v>
      </c>
      <c r="H23" s="130"/>
      <c r="I23" s="130"/>
      <c r="J23" s="130"/>
      <c r="K23" s="130"/>
      <c r="L23" s="129" t="s">
        <v>90</v>
      </c>
      <c r="M23" s="129" t="s">
        <v>91</v>
      </c>
      <c r="N23" s="129" t="s">
        <v>92</v>
      </c>
      <c r="O23" s="129"/>
      <c r="P23" s="129" t="s">
        <v>93</v>
      </c>
    </row>
    <row r="24" spans="2:16" ht="36" x14ac:dyDescent="0.25">
      <c r="B24" s="129"/>
      <c r="C24" s="129"/>
      <c r="D24" s="129"/>
      <c r="E24" s="129"/>
      <c r="F24" s="129"/>
      <c r="G24" s="52" t="s">
        <v>94</v>
      </c>
      <c r="H24" s="52" t="s">
        <v>95</v>
      </c>
      <c r="I24" s="52" t="s">
        <v>96</v>
      </c>
      <c r="J24" s="53" t="s">
        <v>97</v>
      </c>
      <c r="K24" s="53" t="s">
        <v>98</v>
      </c>
      <c r="L24" s="129"/>
      <c r="M24" s="129"/>
      <c r="N24" s="54" t="s">
        <v>99</v>
      </c>
      <c r="O24" s="54" t="s">
        <v>100</v>
      </c>
      <c r="P24" s="129"/>
    </row>
    <row r="25" spans="2:16" x14ac:dyDescent="0.2">
      <c r="B25" s="41" t="s">
        <v>101</v>
      </c>
      <c r="C25" s="64" t="str">
        <f>'1. Presupuesto detallado'!AB18</f>
        <v>Evaluación Intermedia</v>
      </c>
      <c r="D25" s="86" t="s">
        <v>113</v>
      </c>
      <c r="E25" s="41">
        <v>0</v>
      </c>
      <c r="F25" s="19" t="s">
        <v>108</v>
      </c>
      <c r="G25" s="22">
        <f>'1. Presupuesto detallado'!AH18</f>
        <v>84000</v>
      </c>
      <c r="H25" s="22">
        <f>'1. Presupuesto detallado'!AF18</f>
        <v>75000</v>
      </c>
      <c r="I25" s="22">
        <f>'1. Presupuesto detallado'!AG18</f>
        <v>9000</v>
      </c>
      <c r="J25" s="51">
        <f t="shared" ref="J25:J26" si="3">H25/G25</f>
        <v>0.8928571428571429</v>
      </c>
      <c r="K25" s="51">
        <f t="shared" ref="K25:K26" si="4">I25/G25</f>
        <v>0.10714285714285714</v>
      </c>
      <c r="L25" s="63" t="s">
        <v>37</v>
      </c>
      <c r="M25" s="41" t="s">
        <v>111</v>
      </c>
      <c r="N25" s="88">
        <v>44562</v>
      </c>
      <c r="O25" s="60">
        <v>44652</v>
      </c>
      <c r="P25" s="19"/>
    </row>
    <row r="26" spans="2:16" x14ac:dyDescent="0.2">
      <c r="B26" s="41" t="s">
        <v>101</v>
      </c>
      <c r="C26" s="64" t="str">
        <f>'1. Presupuesto detallado'!AB19</f>
        <v xml:space="preserve">Evaluación Final </v>
      </c>
      <c r="D26" s="86" t="s">
        <v>113</v>
      </c>
      <c r="E26" s="41">
        <v>0</v>
      </c>
      <c r="F26" s="19" t="s">
        <v>108</v>
      </c>
      <c r="G26" s="22">
        <f>'1. Presupuesto detallado'!AH19</f>
        <v>84000</v>
      </c>
      <c r="H26" s="22">
        <f>'1. Presupuesto detallado'!AF19</f>
        <v>75000</v>
      </c>
      <c r="I26" s="22">
        <f>'1. Presupuesto detallado'!AG19</f>
        <v>9000</v>
      </c>
      <c r="J26" s="51">
        <f t="shared" si="3"/>
        <v>0.8928571428571429</v>
      </c>
      <c r="K26" s="51">
        <f t="shared" si="4"/>
        <v>0.10714285714285714</v>
      </c>
      <c r="L26" s="63" t="s">
        <v>37</v>
      </c>
      <c r="M26" s="41" t="s">
        <v>111</v>
      </c>
      <c r="N26" s="88">
        <v>45292</v>
      </c>
      <c r="O26" s="60">
        <v>45383</v>
      </c>
      <c r="P26" s="19"/>
    </row>
    <row r="28" spans="2:16" x14ac:dyDescent="0.25">
      <c r="B28" s="131" t="s">
        <v>114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</row>
    <row r="29" spans="2:16" x14ac:dyDescent="0.25">
      <c r="B29" s="129" t="s">
        <v>84</v>
      </c>
      <c r="C29" s="129" t="s">
        <v>85</v>
      </c>
      <c r="D29" s="129" t="s">
        <v>86</v>
      </c>
      <c r="E29" s="129" t="s">
        <v>87</v>
      </c>
      <c r="F29" s="129" t="s">
        <v>88</v>
      </c>
      <c r="G29" s="130" t="s">
        <v>89</v>
      </c>
      <c r="H29" s="130"/>
      <c r="I29" s="130"/>
      <c r="J29" s="130"/>
      <c r="K29" s="130"/>
      <c r="L29" s="129" t="s">
        <v>90</v>
      </c>
      <c r="M29" s="129" t="s">
        <v>91</v>
      </c>
      <c r="N29" s="129" t="s">
        <v>92</v>
      </c>
      <c r="O29" s="129"/>
      <c r="P29" s="129" t="s">
        <v>93</v>
      </c>
    </row>
    <row r="30" spans="2:16" ht="36" x14ac:dyDescent="0.25">
      <c r="B30" s="129"/>
      <c r="C30" s="129"/>
      <c r="D30" s="129"/>
      <c r="E30" s="129"/>
      <c r="F30" s="129"/>
      <c r="G30" s="52" t="s">
        <v>94</v>
      </c>
      <c r="H30" s="52" t="s">
        <v>95</v>
      </c>
      <c r="I30" s="52" t="s">
        <v>96</v>
      </c>
      <c r="J30" s="53" t="s">
        <v>97</v>
      </c>
      <c r="K30" s="53" t="s">
        <v>98</v>
      </c>
      <c r="L30" s="129"/>
      <c r="M30" s="129"/>
      <c r="N30" s="54" t="s">
        <v>99</v>
      </c>
      <c r="O30" s="54" t="s">
        <v>100</v>
      </c>
      <c r="P30" s="129"/>
    </row>
    <row r="31" spans="2:16" ht="24" x14ac:dyDescent="0.25">
      <c r="B31" s="57" t="s">
        <v>101</v>
      </c>
      <c r="C31" s="49" t="str">
        <f>'4.PEP Plurianual '!B16</f>
        <v>Talleres temas transversales de género, productividad y accesibilidad universal</v>
      </c>
      <c r="D31" s="58" t="s">
        <v>115</v>
      </c>
      <c r="E31" s="57">
        <v>0</v>
      </c>
      <c r="F31" s="50" t="s">
        <v>103</v>
      </c>
      <c r="G31" s="50">
        <f>'1. Presupuesto detallado'!AO14</f>
        <v>196000</v>
      </c>
      <c r="H31" s="50">
        <f>'1. Presupuesto detallado'!AM14</f>
        <v>175000</v>
      </c>
      <c r="I31" s="50">
        <f>H31*12%</f>
        <v>21000</v>
      </c>
      <c r="J31" s="51">
        <f>H31/G31</f>
        <v>0.8928571428571429</v>
      </c>
      <c r="K31" s="51">
        <f>I31/G31</f>
        <v>0.10714285714285714</v>
      </c>
      <c r="L31" s="62" t="str">
        <f>'1. Presupuesto detallado'!B9</f>
        <v xml:space="preserve">Componente 2.- Gestión de riesgos de desastres y temas transversales </v>
      </c>
      <c r="M31" s="41" t="s">
        <v>111</v>
      </c>
      <c r="N31" s="88">
        <v>44166</v>
      </c>
      <c r="O31" s="60">
        <v>43952</v>
      </c>
      <c r="P31" s="19"/>
    </row>
  </sheetData>
  <mergeCells count="56">
    <mergeCell ref="G4:K4"/>
    <mergeCell ref="L4:L5"/>
    <mergeCell ref="M4:M5"/>
    <mergeCell ref="N4:O4"/>
    <mergeCell ref="P4:P5"/>
    <mergeCell ref="B2:P2"/>
    <mergeCell ref="B8:P8"/>
    <mergeCell ref="B9:B10"/>
    <mergeCell ref="C9:C10"/>
    <mergeCell ref="D9:D10"/>
    <mergeCell ref="E9:E10"/>
    <mergeCell ref="F9:F10"/>
    <mergeCell ref="G9:K9"/>
    <mergeCell ref="L9:L10"/>
    <mergeCell ref="B3:P3"/>
    <mergeCell ref="B4:B5"/>
    <mergeCell ref="C4:C5"/>
    <mergeCell ref="D4:D5"/>
    <mergeCell ref="E4:E5"/>
    <mergeCell ref="F4:F5"/>
    <mergeCell ref="M9:M10"/>
    <mergeCell ref="N9:O9"/>
    <mergeCell ref="P9:P10"/>
    <mergeCell ref="B13:P13"/>
    <mergeCell ref="B14:B15"/>
    <mergeCell ref="C14:C15"/>
    <mergeCell ref="D14:D15"/>
    <mergeCell ref="E14:E15"/>
    <mergeCell ref="F14:F15"/>
    <mergeCell ref="G14:K14"/>
    <mergeCell ref="L14:L15"/>
    <mergeCell ref="M14:M15"/>
    <mergeCell ref="N14:O14"/>
    <mergeCell ref="P14:P15"/>
    <mergeCell ref="B28:P28"/>
    <mergeCell ref="G29:K29"/>
    <mergeCell ref="L29:L30"/>
    <mergeCell ref="M29:M30"/>
    <mergeCell ref="N29:O29"/>
    <mergeCell ref="P29:P30"/>
    <mergeCell ref="B29:B30"/>
    <mergeCell ref="C29:C30"/>
    <mergeCell ref="D29:D30"/>
    <mergeCell ref="E29:E30"/>
    <mergeCell ref="F29:F30"/>
    <mergeCell ref="B22:P22"/>
    <mergeCell ref="B23:B24"/>
    <mergeCell ref="C23:C24"/>
    <mergeCell ref="D23:D24"/>
    <mergeCell ref="E23:E24"/>
    <mergeCell ref="F23:F24"/>
    <mergeCell ref="G23:K23"/>
    <mergeCell ref="L23:L24"/>
    <mergeCell ref="M23:M24"/>
    <mergeCell ref="N23:O23"/>
    <mergeCell ref="P23:P24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E50738CC600DF040B1A491005851AA10" ma:contentTypeVersion="1826" ma:contentTypeDescription="A content type to manage public (operations) IDB documents" ma:contentTypeScope="" ma:versionID="5d6f7eebf99f9d9fac2546787e765900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9d6c7bf6aa4c0f55b5fc02b7f099a77c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ae61f9b1-e23d-4f49-b3d7-56b991556c4b" ContentTypeId="0x010100ACF722E9F6B0B149B0CD8BE2560A6672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cdc7663a-08f0-4737-9e8c-148ce897a09c" xsi:nil="true"/>
    <Record_x0020_Number xmlns="cdc7663a-08f0-4737-9e8c-148ce897a09c" xsi:nil="true"/>
    <Key_x0020_Document xmlns="cdc7663a-08f0-4737-9e8c-148ce897a09c">false</Key_x0020_Document>
    <Division_x0020_or_x0020_Unit xmlns="cdc7663a-08f0-4737-9e8c-148ce897a09c">INE/TSP</Division_x0020_or_x0020_Unit>
    <_dlc_DocId xmlns="cdc7663a-08f0-4737-9e8c-148ce897a09c">EZSHARE-1717780721-6</_dlc_DocId>
    <Document_x0020_Author xmlns="cdc7663a-08f0-4737-9e8c-148ce897a09c">Baladi Rodriguez,Aziz</Document_x0020_Author>
    <TaxCatchAll xmlns="cdc7663a-08f0-4737-9e8c-148ce897a09c">
      <Value>20</Value>
      <Value>129</Value>
      <Value>17</Value>
      <Value>1</Value>
      <Value>28</Value>
    </TaxCatchAll>
    <Fiscal_x0020_Year_x0020_IDB xmlns="cdc7663a-08f0-4737-9e8c-148ce897a09c">2019</Fiscal_x0020_Year_x0020_IDB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Regional</TermName>
          <TermId xmlns="http://schemas.microsoft.com/office/infopath/2007/PartnerControls">2537a5b7-6d8e-482c-94dc-32c3cc44ff65</TermId>
        </TermInfo>
      </Terms>
    </ic46d7e087fd4a108fb86518ca413cc6>
    <Operation_x0020_Type xmlns="cdc7663a-08f0-4737-9e8c-148ce897a09c">Loan Operation</Operation_x0020_Type>
    <b26cdb1da78c4bb4b1c1bac2f6ac5911 xmlns="cdc7663a-08f0-4737-9e8c-148ce897a09c">
      <Terms xmlns="http://schemas.microsoft.com/office/infopath/2007/PartnerControls"/>
    </b26cdb1da78c4bb4b1c1bac2f6ac5911>
    <Project_x0020_Number xmlns="cdc7663a-08f0-4737-9e8c-148ce897a09c">RG-L1132</Project_x0020_Number>
    <Package_x0020_Code xmlns="cdc7663a-08f0-4737-9e8c-148ce897a09c" xsi:nil="true"/>
    <Migration_x0020_Info xmlns="cdc7663a-08f0-4737-9e8c-148ce897a09c" xsi:nil="true"/>
    <Related_x0020_SisCor_x0020_Number xmlns="cdc7663a-08f0-4737-9e8c-148ce897a09c" xsi:nil="true"/>
    <Approval_x0020_Number xmlns="cdc7663a-08f0-4737-9e8c-148ce897a09c" xsi:nil="true"/>
    <Business_x0020_Area xmlns="cdc7663a-08f0-4737-9e8c-148ce897a09c">Life Cycle</Business_x0020_Area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e46fe2894295491da65140ffd2369f49>
    <SISCOR_x0020_Number xmlns="cdc7663a-08f0-4737-9e8c-148ce897a09c" xsi:nil="true"/>
    <Access_x0020_to_x0020_Information_x00a0_Policy xmlns="cdc7663a-08f0-4737-9e8c-148ce897a09c">Public - Simultaneous Disclosure</Access_x0020_to_x0020_Information_x00a0_Policy>
    <Identifier xmlns="cdc7663a-08f0-4737-9e8c-148ce897a09c" xsi:nil="true"/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TRANSPORT NETWORKS CONNECTIVITY</TermName>
          <TermId xmlns="http://schemas.microsoft.com/office/infopath/2007/PartnerControls">8ac6e18a-47fc-496c-8842-4870f8aa7a8e</TermId>
        </TermInfo>
      </Terms>
    </b2ec7cfb18674cb8803df6b262e8b107>
    <Document_x0020_Language_x0020_IDB xmlns="cdc7663a-08f0-4737-9e8c-148ce897a09c">Spanish</Document_x0020_Language_x0020_IDB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TBD</TermName>
          <TermId xmlns="http://schemas.microsoft.com/office/infopath/2007/PartnerControls">d62f6e05-3e80-4abd-9bb4-5f10b4906ff6</TermId>
        </TermInfo>
      </Terms>
    </g511464f9e53401d84b16fa9b379a574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TRANSPORT</TermName>
          <TermId xmlns="http://schemas.microsoft.com/office/infopath/2007/PartnerControls">5a25d1a8-4baf-41a8-9e3b-e167accda6ea</TermId>
        </TermInfo>
      </Terms>
    </nddeef1749674d76abdbe4b239a70bc6>
    <_dlc_DocIdUrl xmlns="cdc7663a-08f0-4737-9e8c-148ce897a09c">
      <Url>https://idbg.sharepoint.com/teams/EZ-RG-LON/RG-L1132/_layouts/15/DocIdRedir.aspx?ID=EZSHARE-1717780721-6</Url>
      <Description>EZSHARE-1717780721-6</Description>
    </_dlc_DocIdUrl>
    <Phase xmlns="cdc7663a-08f0-4737-9e8c-148ce897a09c">ACTIVE</Phase>
    <Other_x0020_Author xmlns="cdc7663a-08f0-4737-9e8c-148ce897a09c" xsi:nil="true"/>
    <IDBDocs_x0020_Number xmlns="cdc7663a-08f0-4737-9e8c-148ce897a09c" xsi:nil="true"/>
    <Disclosure_x0020_Activity xmlns="cdc7663a-08f0-4737-9e8c-148ce897a09c">Loan Proposal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6BBA66-7AC4-4A97-AB99-A889C0253325}"/>
</file>

<file path=customXml/itemProps2.xml><?xml version="1.0" encoding="utf-8"?>
<ds:datastoreItem xmlns:ds="http://schemas.openxmlformats.org/officeDocument/2006/customXml" ds:itemID="{19E0EE2E-2EB0-48FA-AC2F-6BFD9A76E9ED}"/>
</file>

<file path=customXml/itemProps3.xml><?xml version="1.0" encoding="utf-8"?>
<ds:datastoreItem xmlns:ds="http://schemas.openxmlformats.org/officeDocument/2006/customXml" ds:itemID="{BBA7B943-0D14-4DC4-9355-7557427D724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A957E5F-6BA8-435E-8D1F-D342F3B3A3CC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E89D9376-BA23-4E26-A3F6-AF16F399DA31}">
  <ds:schemaRefs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cdc7663a-08f0-4737-9e8c-148ce897a09c"/>
    <ds:schemaRef ds:uri="http://www.w3.org/XML/1998/namespace"/>
  </ds:schemaRefs>
</ds:datastoreItem>
</file>

<file path=customXml/itemProps6.xml><?xml version="1.0" encoding="utf-8"?>
<ds:datastoreItem xmlns:ds="http://schemas.openxmlformats.org/officeDocument/2006/customXml" ds:itemID="{46461958-B590-4EFE-BE08-62429EB4AC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 Presupuesto detallado</vt:lpstr>
      <vt:lpstr>2.Presupuesto Resumido</vt:lpstr>
      <vt:lpstr>3.POA año 1</vt:lpstr>
      <vt:lpstr>4.PEP Plurianual </vt:lpstr>
      <vt:lpstr>Sheet2</vt:lpstr>
      <vt:lpstr>5. Plan Adquisiciones</vt:lpstr>
    </vt:vector>
  </TitlesOfParts>
  <Manager/>
  <Company>Inter-American Development Bank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Sanchez Maldonado, Alexandra</dc:creator>
  <cp:keywords/>
  <dc:description/>
  <cp:lastModifiedBy>Sanchez Maldonado, Alexandra</cp:lastModifiedBy>
  <cp:revision/>
  <dcterms:created xsi:type="dcterms:W3CDTF">2019-07-29T15:31:41Z</dcterms:created>
  <dcterms:modified xsi:type="dcterms:W3CDTF">2019-10-25T20:22:33Z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TaxKeywordTaxHTField">
    <vt:lpwstr/>
  </property>
  <property fmtid="{D5CDD505-2E9C-101B-9397-08002B2CF9AE}" pid="4" name="Series Operations IDB">
    <vt:lpwstr/>
  </property>
  <property fmtid="{D5CDD505-2E9C-101B-9397-08002B2CF9AE}" pid="5" name="Sub-Sector">
    <vt:lpwstr>129;#TRANSPORT NETWORKS CONNECTIVITY|8ac6e18a-47fc-496c-8842-4870f8aa7a8e</vt:lpwstr>
  </property>
  <property fmtid="{D5CDD505-2E9C-101B-9397-08002B2CF9AE}" pid="6" name="Country">
    <vt:lpwstr>20;#Regional|2537a5b7-6d8e-482c-94dc-32c3cc44ff65</vt:lpwstr>
  </property>
  <property fmtid="{D5CDD505-2E9C-101B-9397-08002B2CF9AE}" pid="7" name="_dlc_DocIdItemGuid">
    <vt:lpwstr>a7a16c57-80d0-43dd-9ddd-2dd19c6eaaff</vt:lpwstr>
  </property>
  <property fmtid="{D5CDD505-2E9C-101B-9397-08002B2CF9AE}" pid="8" name="Fund IDB">
    <vt:lpwstr>28;#TBD|d62f6e05-3e80-4abd-9bb4-5f10b4906ff6</vt:lpwstr>
  </property>
  <property fmtid="{D5CDD505-2E9C-101B-9397-08002B2CF9AE}" pid="9" name="Sector IDB">
    <vt:lpwstr>17;#TRANSPORT|5a25d1a8-4baf-41a8-9e3b-e167accda6ea</vt:lpwstr>
  </property>
  <property fmtid="{D5CDD505-2E9C-101B-9397-08002B2CF9AE}" pid="10" name="Function Operations IDB">
    <vt:lpwstr>1;#Project Preparation, Planning and Design|29ca0c72-1fc4-435f-a09c-28585cb5eac9</vt:lpwstr>
  </property>
  <property fmtid="{D5CDD505-2E9C-101B-9397-08002B2CF9AE}" pid="12" name="Disclosure Activity">
    <vt:lpwstr>Loan Proposal</vt:lpwstr>
  </property>
  <property fmtid="{D5CDD505-2E9C-101B-9397-08002B2CF9AE}" pid="13" name="ContentTypeId">
    <vt:lpwstr>0x0101001A458A224826124E8B45B1D613300CFC00E50738CC600DF040B1A491005851AA10</vt:lpwstr>
  </property>
</Properties>
</file>